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J:\everyone\APD Projects\1844\working\"/>
    </mc:Choice>
  </mc:AlternateContent>
  <xr:revisionPtr revIDLastSave="0" documentId="13_ncr:1_{E72BDDB7-CCE2-4103-B5FB-6F556DD3F631}" xr6:coauthVersionLast="36" xr6:coauthVersionMax="36" xr10:uidLastSave="{00000000-0000-0000-0000-000000000000}"/>
  <bookViews>
    <workbookView xWindow="0" yWindow="0" windowWidth="18870" windowHeight="7650" tabRatio="880" xr2:uid="{00000000-000D-0000-FFFF-FFFF00000000}"/>
  </bookViews>
  <sheets>
    <sheet name="Intro &amp; Instructions" sheetId="5" r:id="rId1"/>
    <sheet name="Cotton Gin Input Data" sheetId="14" r:id="rId2"/>
    <sheet name="MAERT" sheetId="10" r:id="rId3"/>
    <sheet name="Summary for Tech Review" sheetId="11" r:id="rId4"/>
    <sheet name="Process Weight Allowable" sheetId="6" r:id="rId5"/>
    <sheet name="System Calculations" sheetId="7" r:id="rId6"/>
    <sheet name="Trash Handling Calculations" sheetId="9" r:id="rId7"/>
    <sheet name="Combustion Calculations" sheetId="8" r:id="rId8"/>
    <sheet name="PM10 Calculations" sheetId="3" r:id="rId9"/>
    <sheet name="PM2.5 Calculations" sheetId="4" r:id="rId10"/>
    <sheet name="Lint Cleaner Worksheet" sheetId="13" r:id="rId11"/>
  </sheets>
  <definedNames>
    <definedName name="_xlnm.Print_Area" localSheetId="1">'Cotton Gin Input Data'!$A$1:$G$29</definedName>
    <definedName name="_xlnm.Print_Area" localSheetId="0">'Intro &amp; Instructions'!$A$1:$I$22</definedName>
    <definedName name="TitleRegion1.a11.g28.2">Table3[[#Headers],[Emission Point]]</definedName>
    <definedName name="TitleRegion1.a5.c12.4">Table6[[#Headers],[Pollutant]]</definedName>
    <definedName name="TitleRegion1.a5.f12.8">Table11[[#Headers],[Pollutant]]</definedName>
    <definedName name="TitleRegion1.a5.g23.10">Table13[[#Headers],[Emission Point]]</definedName>
    <definedName name="TitleRegion1.a5.g23.9">Table12[[#Headers],[Emission Point]]</definedName>
    <definedName name="TitleRegion1.a5.l6.5">Table7[[#Headers],[Hourly Baling Rate (bales/hour)]]</definedName>
    <definedName name="TitleRegion1.a6.d25.3">Table5[[#Headers],[Source Name]]</definedName>
    <definedName name="TitleRegion1.a6.f20.11">Table14[[#Headers],[Number of Stands with Cyclones on Both Lint Cleaners:]]</definedName>
    <definedName name="TitleRegion1.a6.l7.7">Table9[[#Headers],[System]]</definedName>
    <definedName name="TitleRegion1.a6.l9.6">Table8[[#Headers],[System]]</definedName>
    <definedName name="TitleRegion2.a22.f36.11">Table15[[#Headers],[Number of Stands with Cyclones on Both Lint Cleaners:]]</definedName>
    <definedName name="TitleRegion3.a38.f52.11">Table16[[#Headers],[Number of Stands with Cyclones on Both Lint Cleaners:]]</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14" l="1"/>
  <c r="F26" i="14"/>
  <c r="F25" i="14"/>
  <c r="F24" i="14"/>
  <c r="F23" i="14"/>
  <c r="F22" i="14"/>
  <c r="F21" i="14"/>
  <c r="F19" i="14"/>
  <c r="F18" i="14"/>
  <c r="F17" i="14"/>
  <c r="F16" i="14"/>
  <c r="F14" i="14"/>
  <c r="F13" i="14"/>
  <c r="E27" i="14" l="1"/>
  <c r="E26" i="14"/>
  <c r="E25" i="14"/>
  <c r="E24" i="14"/>
  <c r="E23" i="14"/>
  <c r="E22" i="14"/>
  <c r="E21" i="14"/>
  <c r="E19" i="14"/>
  <c r="E18" i="14"/>
  <c r="E17" i="14"/>
  <c r="E16" i="14"/>
  <c r="E14" i="14"/>
  <c r="E13" i="14"/>
  <c r="E12" i="14"/>
  <c r="G27" i="14"/>
  <c r="G26" i="14"/>
  <c r="G24" i="14"/>
  <c r="G23" i="14"/>
  <c r="G22" i="14"/>
  <c r="G19" i="14"/>
  <c r="G18" i="14"/>
  <c r="G17" i="14"/>
  <c r="G16" i="14"/>
  <c r="G14" i="14"/>
  <c r="G13" i="14"/>
  <c r="F12" i="14"/>
  <c r="G12" i="14" s="1"/>
  <c r="A21" i="4" l="1"/>
  <c r="A20" i="4"/>
  <c r="A19" i="4"/>
  <c r="A18" i="4"/>
  <c r="A17" i="4"/>
  <c r="A16" i="4"/>
  <c r="A15" i="4"/>
  <c r="A13" i="4"/>
  <c r="A12" i="4"/>
  <c r="A11" i="4"/>
  <c r="A10" i="4"/>
  <c r="A8" i="4"/>
  <c r="A7" i="4"/>
  <c r="A6" i="4"/>
  <c r="A21" i="3"/>
  <c r="A20" i="3"/>
  <c r="A19" i="3"/>
  <c r="A18" i="3"/>
  <c r="A17" i="3"/>
  <c r="A16" i="3"/>
  <c r="A15" i="3"/>
  <c r="A13" i="3"/>
  <c r="A12" i="3"/>
  <c r="A11" i="3"/>
  <c r="A10" i="3"/>
  <c r="A8" i="3"/>
  <c r="A7" i="3"/>
  <c r="A6" i="3"/>
  <c r="D21" i="4" l="1"/>
  <c r="D20" i="4"/>
  <c r="D19" i="4"/>
  <c r="F19" i="4" s="1"/>
  <c r="D18" i="4"/>
  <c r="D17" i="4"/>
  <c r="D16" i="4"/>
  <c r="D15" i="4"/>
  <c r="D13" i="4"/>
  <c r="D12" i="4"/>
  <c r="D11" i="4"/>
  <c r="D10" i="4"/>
  <c r="D8" i="4"/>
  <c r="D7" i="4"/>
  <c r="D6" i="4"/>
  <c r="D21" i="3"/>
  <c r="D20" i="3"/>
  <c r="D19" i="3"/>
  <c r="F19" i="3" s="1"/>
  <c r="D18" i="3"/>
  <c r="D17" i="3"/>
  <c r="D16" i="3"/>
  <c r="D15" i="3"/>
  <c r="D13" i="3"/>
  <c r="D12" i="3"/>
  <c r="D11" i="3"/>
  <c r="D10" i="3"/>
  <c r="D8" i="3"/>
  <c r="D7" i="3"/>
  <c r="D6" i="3"/>
  <c r="B12" i="8"/>
  <c r="B11" i="8"/>
  <c r="B10" i="8"/>
  <c r="E10" i="8" s="1"/>
  <c r="B9" i="8"/>
  <c r="B8" i="8"/>
  <c r="B7" i="8"/>
  <c r="B6" i="8"/>
  <c r="D12" i="8"/>
  <c r="D11" i="8"/>
  <c r="D10" i="8"/>
  <c r="D9" i="8"/>
  <c r="D8" i="8"/>
  <c r="D7" i="8"/>
  <c r="D6" i="8"/>
  <c r="C12" i="8"/>
  <c r="C11" i="8"/>
  <c r="C10" i="8"/>
  <c r="C9" i="8"/>
  <c r="C8" i="8"/>
  <c r="C7" i="8"/>
  <c r="C6" i="8"/>
  <c r="A4" i="8"/>
  <c r="C9" i="7"/>
  <c r="C8" i="7"/>
  <c r="C7" i="7"/>
  <c r="B9" i="7"/>
  <c r="B8" i="7"/>
  <c r="B7" i="7"/>
  <c r="E7" i="9"/>
  <c r="C7" i="9"/>
  <c r="F7" i="9" s="1"/>
  <c r="B7" i="9"/>
  <c r="A7" i="6"/>
  <c r="G25" i="14"/>
  <c r="G21" i="14"/>
  <c r="F11" i="3" l="1"/>
  <c r="G11" i="3" s="1"/>
  <c r="E11" i="3"/>
  <c r="F20" i="3"/>
  <c r="G20" i="3" s="1"/>
  <c r="E20" i="3"/>
  <c r="F7" i="3"/>
  <c r="E7" i="3"/>
  <c r="F11" i="4"/>
  <c r="G11" i="4" s="1"/>
  <c r="E11" i="4"/>
  <c r="F20" i="4"/>
  <c r="G20" i="4" s="1"/>
  <c r="E20" i="4"/>
  <c r="F7" i="4"/>
  <c r="E7" i="4"/>
  <c r="F17" i="4"/>
  <c r="G17" i="4" s="1"/>
  <c r="E17" i="4"/>
  <c r="F17" i="3"/>
  <c r="G17" i="3" s="1"/>
  <c r="E17" i="3"/>
  <c r="F13" i="4"/>
  <c r="G13" i="4" s="1"/>
  <c r="E13" i="4"/>
  <c r="F13" i="3"/>
  <c r="G13" i="3" s="1"/>
  <c r="E13" i="3"/>
  <c r="F21" i="3"/>
  <c r="E21" i="3"/>
  <c r="F21" i="4"/>
  <c r="G21" i="4" s="1"/>
  <c r="E21" i="4"/>
  <c r="F18" i="4"/>
  <c r="G18" i="4" s="1"/>
  <c r="E18" i="4"/>
  <c r="F18" i="3"/>
  <c r="G18" i="3" s="1"/>
  <c r="E18" i="3"/>
  <c r="F16" i="4"/>
  <c r="G16" i="4" s="1"/>
  <c r="F46" i="13" s="1"/>
  <c r="E16" i="4"/>
  <c r="F16" i="3"/>
  <c r="G16" i="3" s="1"/>
  <c r="E16" i="3"/>
  <c r="F15" i="4"/>
  <c r="E15" i="4"/>
  <c r="F15" i="3"/>
  <c r="G15" i="3" s="1"/>
  <c r="E15" i="3"/>
  <c r="F12" i="4"/>
  <c r="E12" i="4"/>
  <c r="F12" i="3"/>
  <c r="G12" i="3" s="1"/>
  <c r="E12" i="3"/>
  <c r="F10" i="4"/>
  <c r="G10" i="4" s="1"/>
  <c r="E10" i="4"/>
  <c r="F10" i="3"/>
  <c r="G10" i="3" s="1"/>
  <c r="E10" i="3"/>
  <c r="F8" i="4"/>
  <c r="G8" i="4" s="1"/>
  <c r="E8" i="4"/>
  <c r="F8" i="3"/>
  <c r="G8" i="3" s="1"/>
  <c r="E8" i="3"/>
  <c r="F6" i="3"/>
  <c r="G6" i="3" s="1"/>
  <c r="E6" i="3"/>
  <c r="F6" i="4"/>
  <c r="G6" i="4" s="1"/>
  <c r="E6" i="4"/>
  <c r="G19" i="4"/>
  <c r="E19" i="4"/>
  <c r="G19" i="3"/>
  <c r="E19" i="3"/>
  <c r="G21" i="3"/>
  <c r="G15" i="4"/>
  <c r="E41" i="13" s="1"/>
  <c r="G12" i="4"/>
  <c r="G7" i="4"/>
  <c r="G7" i="3"/>
  <c r="E12" i="8"/>
  <c r="E7" i="8"/>
  <c r="E8" i="8"/>
  <c r="E9" i="8"/>
  <c r="G15" i="14"/>
  <c r="D7" i="7" s="1"/>
  <c r="E11" i="8"/>
  <c r="G20" i="14"/>
  <c r="D8" i="7" s="1"/>
  <c r="E6" i="8"/>
  <c r="C50" i="13"/>
  <c r="E46" i="13" s="1"/>
  <c r="F44" i="13"/>
  <c r="E44" i="13"/>
  <c r="F42" i="13"/>
  <c r="D42" i="13"/>
  <c r="F40" i="13"/>
  <c r="E40" i="13"/>
  <c r="C40" i="13"/>
  <c r="C18" i="13"/>
  <c r="E14" i="13" s="1"/>
  <c r="C17" i="13"/>
  <c r="C11" i="13" s="1"/>
  <c r="F14" i="13"/>
  <c r="F13" i="13"/>
  <c r="F12" i="13"/>
  <c r="E12" i="13"/>
  <c r="F11" i="13"/>
  <c r="E11" i="13"/>
  <c r="F10" i="13"/>
  <c r="E10" i="13"/>
  <c r="D10" i="13"/>
  <c r="F9" i="13"/>
  <c r="E9" i="13"/>
  <c r="D9" i="13"/>
  <c r="F8" i="13"/>
  <c r="E8" i="13"/>
  <c r="D8" i="13"/>
  <c r="C8" i="13"/>
  <c r="F7" i="13"/>
  <c r="E7" i="13"/>
  <c r="D7" i="13"/>
  <c r="C7" i="13"/>
  <c r="F28" i="13" l="1"/>
  <c r="D26" i="13"/>
  <c r="C24" i="13"/>
  <c r="E28" i="13"/>
  <c r="F24" i="13"/>
  <c r="C34" i="13"/>
  <c r="E30" i="13" s="1"/>
  <c r="E24" i="13"/>
  <c r="F26" i="13"/>
  <c r="F32" i="13" s="1"/>
  <c r="F30" i="13"/>
  <c r="E26" i="13"/>
  <c r="D24" i="13"/>
  <c r="D40" i="13"/>
  <c r="E42" i="13"/>
  <c r="F27" i="13"/>
  <c r="F23" i="13"/>
  <c r="F29" i="13"/>
  <c r="F31" i="13" s="1"/>
  <c r="E27" i="13"/>
  <c r="F25" i="13"/>
  <c r="E23" i="13"/>
  <c r="C23" i="13"/>
  <c r="E25" i="13"/>
  <c r="D23" i="13"/>
  <c r="C33" i="13"/>
  <c r="C29" i="13" s="1"/>
  <c r="D25" i="13"/>
  <c r="E39" i="13"/>
  <c r="F41" i="13"/>
  <c r="E43" i="13"/>
  <c r="F45" i="13"/>
  <c r="F39" i="13"/>
  <c r="F43" i="13"/>
  <c r="C39" i="13"/>
  <c r="D41" i="13"/>
  <c r="C49" i="13"/>
  <c r="E45" i="13" s="1"/>
  <c r="D39" i="13"/>
  <c r="G28" i="14"/>
  <c r="D9" i="7" s="1"/>
  <c r="C41" i="13"/>
  <c r="C12" i="13"/>
  <c r="D44" i="13"/>
  <c r="C42" i="13"/>
  <c r="C10" i="13"/>
  <c r="C28" i="13"/>
  <c r="C46" i="13"/>
  <c r="E29" i="13"/>
  <c r="E31" i="13" s="1"/>
  <c r="D46" i="13"/>
  <c r="F48" i="13"/>
  <c r="F47" i="13"/>
  <c r="C25" i="13"/>
  <c r="C30" i="13"/>
  <c r="C44" i="13"/>
  <c r="D30" i="13"/>
  <c r="F16" i="13"/>
  <c r="C14" i="13"/>
  <c r="C26" i="13"/>
  <c r="E16" i="13"/>
  <c r="E32" i="13"/>
  <c r="F15" i="13"/>
  <c r="E48" i="13"/>
  <c r="E47" i="13"/>
  <c r="D12" i="13"/>
  <c r="D14" i="13"/>
  <c r="D45" i="13"/>
  <c r="C13" i="13"/>
  <c r="D13" i="13"/>
  <c r="C9" i="13"/>
  <c r="D11" i="13"/>
  <c r="E13" i="13"/>
  <c r="E15" i="13" s="1"/>
  <c r="C7" i="6"/>
  <c r="D7" i="6" s="1"/>
  <c r="C27" i="13" l="1"/>
  <c r="D28" i="13"/>
  <c r="D43" i="13"/>
  <c r="C45" i="13"/>
  <c r="C43" i="13"/>
  <c r="D29" i="13"/>
  <c r="D27" i="13"/>
  <c r="D31" i="13" s="1"/>
  <c r="C47" i="13"/>
  <c r="C48" i="13"/>
  <c r="D48" i="13"/>
  <c r="C31" i="13"/>
  <c r="C16" i="13"/>
  <c r="D16" i="13"/>
  <c r="D32" i="13"/>
  <c r="D47" i="13"/>
  <c r="C32" i="13"/>
  <c r="D15" i="13"/>
  <c r="C15" i="13"/>
  <c r="F7" i="6"/>
  <c r="E7" i="6"/>
  <c r="D23" i="10" l="1"/>
  <c r="C23" i="10"/>
  <c r="F8" i="8" l="1"/>
  <c r="D12" i="10" s="1"/>
  <c r="C12" i="10"/>
  <c r="F6" i="8"/>
  <c r="D10" i="10" s="1"/>
  <c r="C10" i="10"/>
  <c r="G14" i="4"/>
  <c r="J8" i="7" s="1"/>
  <c r="G9" i="4"/>
  <c r="G22" i="4"/>
  <c r="J9" i="7" s="1"/>
  <c r="J7" i="7" l="1"/>
  <c r="L7" i="7" s="1"/>
  <c r="D9" i="10" s="1"/>
  <c r="G23" i="4"/>
  <c r="F9" i="8"/>
  <c r="D13" i="10" s="1"/>
  <c r="C9" i="11" s="1"/>
  <c r="C13" i="10"/>
  <c r="B9" i="11" s="1"/>
  <c r="F10" i="8"/>
  <c r="D14" i="10" s="1"/>
  <c r="C10" i="11" s="1"/>
  <c r="C14" i="10"/>
  <c r="B10" i="11" s="1"/>
  <c r="F7" i="8"/>
  <c r="D11" i="10" s="1"/>
  <c r="C11" i="10"/>
  <c r="K9" i="7"/>
  <c r="C22" i="10" s="1"/>
  <c r="L9" i="7"/>
  <c r="D22" i="10" s="1"/>
  <c r="K8" i="7"/>
  <c r="C19" i="10" s="1"/>
  <c r="L8" i="7"/>
  <c r="D19" i="10" s="1"/>
  <c r="K7" i="7" l="1"/>
  <c r="C9" i="10" s="1"/>
  <c r="F11" i="8"/>
  <c r="D15" i="10" s="1"/>
  <c r="C11" i="11" s="1"/>
  <c r="C15" i="10"/>
  <c r="B11" i="11" s="1"/>
  <c r="F12" i="8"/>
  <c r="D16" i="10" s="1"/>
  <c r="C12" i="11" s="1"/>
  <c r="C16" i="10"/>
  <c r="B12" i="11" s="1"/>
  <c r="E8" i="7" l="1"/>
  <c r="J7" i="6" s="1"/>
  <c r="F8" i="7"/>
  <c r="D17" i="10" s="1"/>
  <c r="E7" i="7"/>
  <c r="H7" i="6" s="1"/>
  <c r="F7" i="7"/>
  <c r="D7" i="10" s="1"/>
  <c r="G14" i="3"/>
  <c r="G8" i="7" s="1"/>
  <c r="G22" i="3"/>
  <c r="G9" i="3"/>
  <c r="G9" i="7" l="1"/>
  <c r="I9" i="7" s="1"/>
  <c r="D21" i="10" s="1"/>
  <c r="G7" i="7"/>
  <c r="H7" i="7" s="1"/>
  <c r="C8" i="10" s="1"/>
  <c r="G23" i="3"/>
  <c r="G7" i="9" s="1"/>
  <c r="C17" i="10"/>
  <c r="I7" i="6"/>
  <c r="C7" i="10"/>
  <c r="G7" i="6"/>
  <c r="E9" i="7"/>
  <c r="L7" i="6" s="1"/>
  <c r="F9" i="7"/>
  <c r="D20" i="10" s="1"/>
  <c r="C6" i="11" s="1"/>
  <c r="H8" i="7"/>
  <c r="C18" i="10" s="1"/>
  <c r="I8" i="7"/>
  <c r="D18" i="10" s="1"/>
  <c r="J7" i="9"/>
  <c r="H9" i="7" l="1"/>
  <c r="C21" i="10" s="1"/>
  <c r="I7" i="7"/>
  <c r="D8" i="10" s="1"/>
  <c r="K7" i="9"/>
  <c r="C25" i="10" s="1"/>
  <c r="B8" i="11" s="1"/>
  <c r="L7" i="9"/>
  <c r="D25" i="10" s="1"/>
  <c r="C8" i="11" s="1"/>
  <c r="I7" i="9"/>
  <c r="D24" i="10" s="1"/>
  <c r="H7" i="9"/>
  <c r="C24" i="10" s="1"/>
  <c r="C20" i="10"/>
  <c r="B6" i="11" s="1"/>
  <c r="K7" i="6"/>
  <c r="B7" i="11" l="1"/>
  <c r="C7" i="11"/>
  <c r="C13" i="11" s="1"/>
</calcChain>
</file>

<file path=xl/sharedStrings.xml><?xml version="1.0" encoding="utf-8"?>
<sst xmlns="http://schemas.openxmlformats.org/spreadsheetml/2006/main" count="491" uniqueCount="160">
  <si>
    <t>Emission Point</t>
  </si>
  <si>
    <t>Unloading fan</t>
  </si>
  <si>
    <t>Cyclones</t>
  </si>
  <si>
    <t>1st dryer cleaner</t>
  </si>
  <si>
    <t>2nd dryer cleaner</t>
  </si>
  <si>
    <t>Overflow</t>
  </si>
  <si>
    <t>1st lint cleaner</t>
  </si>
  <si>
    <t>2nd lint cleaner</t>
  </si>
  <si>
    <t>Battery condenser</t>
  </si>
  <si>
    <t>Pollutant</t>
  </si>
  <si>
    <t>CF/hr</t>
  </si>
  <si>
    <t>lb/hr</t>
  </si>
  <si>
    <t>ton/yr</t>
  </si>
  <si>
    <t>Emission Rates</t>
  </si>
  <si>
    <t>Source Name</t>
  </si>
  <si>
    <t>PM10</t>
  </si>
  <si>
    <t>VOC</t>
  </si>
  <si>
    <t>NOx</t>
  </si>
  <si>
    <t>CO</t>
  </si>
  <si>
    <t>SO2</t>
  </si>
  <si>
    <t>3rd dryer cleaner</t>
  </si>
  <si>
    <t>Master Trash</t>
  </si>
  <si>
    <t>PM2.5</t>
  </si>
  <si>
    <t>PM</t>
  </si>
  <si>
    <t>Total Lint System Emission Rate</t>
  </si>
  <si>
    <t>Burners</t>
  </si>
  <si>
    <t>Trash Handling</t>
  </si>
  <si>
    <t>Cyclone Robber</t>
  </si>
  <si>
    <t>#1 Mote</t>
  </si>
  <si>
    <t>#2 Mote</t>
  </si>
  <si>
    <t>Mote Trash</t>
  </si>
  <si>
    <t>Total Precleaning System Emission Rate</t>
  </si>
  <si>
    <t>Total Trash System Emission Rate</t>
  </si>
  <si>
    <t>Trash System</t>
  </si>
  <si>
    <t>Precleaning System</t>
  </si>
  <si>
    <t>Lint System</t>
  </si>
  <si>
    <t>No</t>
  </si>
  <si>
    <t>Abatement Device Sampled</t>
  </si>
  <si>
    <t>lb/bale
(g)</t>
  </si>
  <si>
    <t>Control Device Number</t>
  </si>
  <si>
    <t>Proposed Abatement</t>
  </si>
  <si>
    <t>Factor 
(a - f)</t>
  </si>
  <si>
    <t>Is the burr hopper enclosed or controlled (Yes or No)?</t>
  </si>
  <si>
    <t>Maximum number of Bales / Hour?</t>
  </si>
  <si>
    <t>Maximum number of Bales / Year?</t>
  </si>
  <si>
    <t>Total Firing Rate (Btu/hr)?</t>
  </si>
  <si>
    <t>Dryer fuel (1=Natural Gas, 2=Butane, 3=Propane)?</t>
  </si>
  <si>
    <t>Total Particulate Emissions Calculation Table</t>
  </si>
  <si>
    <t>Press TAB to move through input areas. Press UP or DOWN arrow in column A to read through the document.</t>
  </si>
  <si>
    <t>PM10 Emission Calculations</t>
  </si>
  <si>
    <t>PM10 Emissions Calculation Table</t>
  </si>
  <si>
    <t>PM2.5 Emission Calculations</t>
  </si>
  <si>
    <t>PM2.5 Emissions Calculation Table</t>
  </si>
  <si>
    <t>Percentage of PM (For Trash Handling Calcs)</t>
  </si>
  <si>
    <t>Cotton Gin Input Data</t>
  </si>
  <si>
    <t>Combustion Calculations</t>
  </si>
  <si>
    <t>System</t>
  </si>
  <si>
    <t>Emission Rate (lb/bale)</t>
  </si>
  <si>
    <t>Hourly Baling Rate (bales/hour)</t>
  </si>
  <si>
    <t>Annual Baling Rate (bales/year)</t>
  </si>
  <si>
    <t>lb/hour</t>
  </si>
  <si>
    <t>TPY</t>
  </si>
  <si>
    <t>System Calculations</t>
  </si>
  <si>
    <t>Percentage of PM</t>
  </si>
  <si>
    <t>Emission Factor (lb/MMscf)</t>
  </si>
  <si>
    <t>Equivalent Hours per Year</t>
  </si>
  <si>
    <t>Air Contaminant Name</t>
  </si>
  <si>
    <t>Proposed Emissions (tpy)</t>
  </si>
  <si>
    <t>Proposed Emissions (lb/hour)</t>
  </si>
  <si>
    <t>Control Type</t>
  </si>
  <si>
    <t>Press TAB to move through the areas. Press UP or DOWN arrow in column A to read through the document.</t>
  </si>
  <si>
    <t>Trash Handling Calculations</t>
  </si>
  <si>
    <t>Maximum Allowable Emission Rates Table (MAERT)</t>
  </si>
  <si>
    <t xml:space="preserve">The maximum allowable emission rates are calculated in other worksheets and then displayed in this worksheet. Therefore, no changes should be made to this worksheet.
</t>
  </si>
  <si>
    <t>Pounds of Field Cotton per Bale (lb/bale)</t>
  </si>
  <si>
    <t>Chapter 111 Formula</t>
  </si>
  <si>
    <t>Preceleaning System PM Emission Rate (lb/hour)</t>
  </si>
  <si>
    <t>Trash System PM Emission Rate (lb/hour)</t>
  </si>
  <si>
    <t>Lint System PM Emission Rate (lb/hour)</t>
  </si>
  <si>
    <t>Field Cotton Processed (lb/hour)</t>
  </si>
  <si>
    <t>Above or Below 40,000 lb/hour Processed?</t>
  </si>
  <si>
    <t>Process Weight Allowable (lb/hour)</t>
  </si>
  <si>
    <t>Process weight check for Precleaning System (OK?)</t>
  </si>
  <si>
    <t>Process weight check for Trash System (OK?)</t>
  </si>
  <si>
    <t>Process weight check for Lint System (OK?)</t>
  </si>
  <si>
    <t>Operational Data and Plant Design</t>
  </si>
  <si>
    <t>Summary for Technical Review</t>
  </si>
  <si>
    <t>Summary of Emissions</t>
  </si>
  <si>
    <t>Lint Cleaner Worksheet</t>
  </si>
  <si>
    <t>The combustion emission rates for the dryers will be calculated in this worksheet. The data on this worksheet is pre-filled from other worksheets. Therefore, no changes should be made to this worksheet.
The cubic feet per hour (CF/hr) is calculated assuming 1000 Btus per cubic foot of fuel use. 
The equivalent hours is calculated by dividing the annual baling rate by the hourly baling rate and then multiplying by 1.5 to account for time when the burners are firing but no cotton is being ginned.
To be conservative, 100% of combustion PM10 is assumed to be PM2.5.
Emission factors for natural gas are taken from AP-42 Chapter 1.4.  Butane and propane emission factors are taken from AP-42 Chapter 1.5.</t>
  </si>
  <si>
    <t>Number of Stands with Cyclones on Both Lint Cleaners:</t>
  </si>
  <si>
    <t>Stand 1</t>
  </si>
  <si>
    <t>1st Cleaner</t>
  </si>
  <si>
    <t>2nd Cleaner</t>
  </si>
  <si>
    <t>Stand 2</t>
  </si>
  <si>
    <t>Stand 3</t>
  </si>
  <si>
    <t>Stand 4</t>
  </si>
  <si>
    <t>1st Stage:</t>
  </si>
  <si>
    <t>2nd Stage:</t>
  </si>
  <si>
    <t>Total PM</t>
  </si>
  <si>
    <t>intentionally blank</t>
  </si>
  <si>
    <t>The emission rates for the precleaning, trash, and lint systems will be calculated in this worksheet. The data on this worksheet is pre-filled from other worksheets. Therefore, no changes should be made to this worksheet.
The emission rates (lb/bale) are calculated from the Total Particulate Emissions Calculations table in the "Cotton Gin Input Data" worksheet for PM and from the "PM10 Calculations" and "PM2.5 Calculations" worksheets for PM10 and PM2.5, respectively.</t>
  </si>
  <si>
    <t>Cotton Gin Emissions Calculations Spreadsheet</t>
  </si>
  <si>
    <t xml:space="preserve">This worksheet is used to calcuate the PM10 emission rates for the precleaning system, the trash system, and the lint system, and to calculate the PM10 percentage for the trash handling system emissions. The data on this worksheet is pre-filled from the "Cotton Gin Input Data" worksheet. Therefore, except for changes described in the Lint Cleaner Worksheet, no changes should be made to this worksheet.
</t>
  </si>
  <si>
    <t xml:space="preserve">This worksheet is used to calcuate the PM2.5 emission rates for the precleaning system, the trash system, and the lint system, and to calculate the PM2.5 percentage for the trash handling system emissions. The data on this worksheet is pre-filled from the "Cotton Gin Input Data" worksheet. Therefore, except for changes described in the Lint Cleaner Worksheet, no changes should be made to this worksheet.
</t>
  </si>
  <si>
    <t>This worksheet is used to override the emission rates (lb/bale) for the 1st and 2nd lint cleaners in the cases where the stands for each lint cleaner are not all controlled by either small mesh screens or cyclones. 
The total emission rates for PM determined below will be entered in the table in the "Cotton Gin Input Data" worksheet for the appropriate lint cleaner exhausts in the "Emissions lb/bale" column. The total emission rates determined below for PM10 and PM2.5 will entered in the tables in the "PM10 Calculations" and "PM2.5 Calculations" worksheets in the "Emissions lb/bale" columns for the appropriate lint cleaner exhausts, respectively.
There are no links to other worksheets. This worksheet is for reference only so no changes can be made to the data.</t>
  </si>
  <si>
    <t>Lint Cleaner Emission Rates</t>
  </si>
  <si>
    <t>End of worksheet</t>
  </si>
  <si>
    <t>End of Worksheet</t>
  </si>
  <si>
    <r>
      <t>lb/hour</t>
    </r>
    <r>
      <rPr>
        <b/>
        <sz val="11"/>
        <color theme="0"/>
        <rFont val="Arial"/>
        <family val="2"/>
      </rPr>
      <t>2</t>
    </r>
  </si>
  <si>
    <r>
      <t>TPY</t>
    </r>
    <r>
      <rPr>
        <b/>
        <sz val="11"/>
        <color theme="0"/>
        <rFont val="Arial"/>
        <family val="2"/>
      </rPr>
      <t>3</t>
    </r>
  </si>
  <si>
    <r>
      <t>Percentage of PM</t>
    </r>
    <r>
      <rPr>
        <b/>
        <sz val="11"/>
        <color theme="0"/>
        <rFont val="Arial"/>
        <family val="2"/>
      </rPr>
      <t>4</t>
    </r>
  </si>
  <si>
    <r>
      <t>lb/hour</t>
    </r>
    <r>
      <rPr>
        <b/>
        <sz val="11"/>
        <color theme="0"/>
        <rFont val="Arial"/>
        <family val="2"/>
      </rPr>
      <t>5</t>
    </r>
  </si>
  <si>
    <r>
      <t>TPY</t>
    </r>
    <r>
      <rPr>
        <b/>
        <sz val="11"/>
        <color theme="0"/>
        <rFont val="Arial"/>
        <family val="2"/>
      </rPr>
      <t>6</t>
    </r>
  </si>
  <si>
    <r>
      <t>Emission Rate (lb/bale)</t>
    </r>
    <r>
      <rPr>
        <b/>
        <sz val="11"/>
        <color theme="0"/>
        <rFont val="Arial"/>
        <family val="2"/>
      </rPr>
      <t>2</t>
    </r>
  </si>
  <si>
    <r>
      <t>TPY</t>
    </r>
    <r>
      <rPr>
        <b/>
        <sz val="11"/>
        <color theme="0"/>
        <rFont val="Arial"/>
        <family val="2"/>
      </rPr>
      <t>2</t>
    </r>
  </si>
  <si>
    <r>
      <t>Emission Rate (lb/bale)</t>
    </r>
    <r>
      <rPr>
        <b/>
        <sz val="11"/>
        <color theme="0"/>
        <rFont val="Arial"/>
        <family val="2"/>
      </rPr>
      <t>3</t>
    </r>
  </si>
  <si>
    <r>
      <t>lb/hour</t>
    </r>
    <r>
      <rPr>
        <b/>
        <sz val="11"/>
        <color theme="0"/>
        <rFont val="Arial"/>
        <family val="2"/>
      </rPr>
      <t>3</t>
    </r>
  </si>
  <si>
    <t>1</t>
  </si>
  <si>
    <t>2</t>
  </si>
  <si>
    <t>3</t>
  </si>
  <si>
    <t>4</t>
  </si>
  <si>
    <t>Cleaner</t>
  </si>
  <si>
    <t>Emissions
(lb/bale)</t>
  </si>
  <si>
    <t>Fine Mesh Emission Rate (lb/bale):</t>
  </si>
  <si>
    <t>Cyclone Emission Rate (lb/bale):</t>
  </si>
  <si>
    <t>Total Emission Rate (lb/bale):</t>
  </si>
  <si>
    <t>Precleaning</t>
  </si>
  <si>
    <t>Trash</t>
  </si>
  <si>
    <t>Lint</t>
  </si>
  <si>
    <t>This worksheet is used to verify that the calculated emission rates for the precleaning, trash, and lint systems do not exceed the process weight allowable (PWA) in 30 TAC Chapter §111.171 (Emissions Limits Based on Process Weight Method [Agricultural Sources]).
The hourly baling rate is used to calculate how much cotton in pounds is processed per hour assuming it takes 1,750 pounds of field cotton to make 1 bale of cotton. Depending on whether this amount is above 40,000 pounds per hour, a formula is used to calculate the Chapter 111 maximum allowable hourly PM emission rate based on process weight (process weight allowable). The variable "P" in the formula is the process weight in tons per hour.
This PWA is then compared to the hourly PM emission rates for each system to verify that the emission rates do not exceed the PWA. This check is performed for each system independently because §111.171 specifically states that "No person affected by the Texas Clean Air Act, §3.10(e), may cause, suffer, allow, or permit emissions of particulate matter from any or all sources associated with a specific process to exceed the allowable levels specified" and each system is considered to be a specific process.</t>
  </si>
  <si>
    <t>Process Weight Allowable</t>
  </si>
  <si>
    <t>The current baseline BACT requirements, as adopted on May 23, 1993 by the nine-member Texas Air Control Board, have been defined as the use of small-mesh screens on all condenser exhausts and properly-sized, high-efficiency cyclones on all other fan exhausts.</t>
  </si>
  <si>
    <t>Mote Robber (h)</t>
  </si>
  <si>
    <t>The emission rates for the trash handling will be calculated in this worksheet.The data on this worksheet is pre-filled from other worksheets. Therefore, no changes should be made to this worksheet.
The emission rate (lb/bale) for PM assumes 1000 pounds of trash per bale of cotton. The emission rate for the burr hopper dump (1 lb PM/ton) is similar to the grain handling emission rate. Thirty percent of the total particulate is assumed to travel off property and fifty percent control efficiency is assumed if the burr hopper dump area is enclosed or controlled. The formulas for hourly and annual PM are as follows:
Hourly PM emission rate = bales/hr * 1000 lb/bale * 1 lb PM/ton * 0.3 off-property * 1 ton/2000 lb
Annual PM emission rate = bale/yr * 1000 lb/bale * 1 lb PM/ton * 0.3 off-property * 1 ton/2000 lb * 1 ton/2000 lb
The percentages of PM are calculated in the "PM10 Calculations" and "PM2.5 Calculations" worksheets for PM10 and PM2.5, respectively.</t>
  </si>
  <si>
    <t xml:space="preserve">The proposed emissions are calculated in other worksheets and then displayed in this worksheet. Therefore, no changes should be made to this worksheet.
The total PM10 short-term emissions (lb/hr) shown below can be compared to the maximum allowable PM10 emission rate (and required setback distance) for the Air Quality Standard Permit for Cotton Gin Facilities and Cotton Burr Tub Grinders to see if the cotton gin could potentially be authorized by the standard permit.
</t>
  </si>
  <si>
    <t>Emission Rate (lb/hr)</t>
  </si>
  <si>
    <t>Emission Rate (ton/yr)</t>
  </si>
  <si>
    <t>On this worksheet, the operational data and plant design for the cotton gin and the controls used for each emission point will be entered in the tan cells.
For the Control Type column in the "Total Particulate Emissions Calculation Table" below, enter the number corresponding to the controls used for each emission point as follows:
No controls = 0
High-efficiency cyclones = 1
Small mesh screens = 2
High-efficiency cyclones in series = 3
Plenum chamber followed by cyclones = 4
Drum filter = 5
Flutter filter = 6
To effectively zero out an emission point = 7</t>
  </si>
  <si>
    <t>Notes:
(a) Cyclones are assumed to be 90% efficient in removing suspended particulate matter.
(b) Small mesh screens are assumed to be 50% efficient in removing suspended particulate matter.
(c) Series cyclones are assumed to be 50% more efficient than single cyclones for Total PM &amp; PM10, and 15% more efficient on PM2.5.
(d) Emission rates for plenum chambers based on the same calculations used from old TCEQ emission factors. These were based on averaging the old picker and stripper emission factors.  All lint cleaner emission points use factor from old mote emission point, which gives the plenum the lowest amount of credit. 
(e) Drum filters are assumed to be 90% efficient for PM and PM10 and 50% efficient for PM2.5 and are assumed to be installed in series with cyclones. Filter efficencies from Osprey filter media data.
(f) Flutter filters are assumed to be 50% efficient in removing suspended particulate matter.
(g) Sampling results from the USDA Seven Gin National Test.
(h) To be conservative, mote robber exhaust should not be zeroed when lint cleaners exhaust to fine mesh screen.</t>
  </si>
  <si>
    <t>http://texreg.sos.state.tx.us/public/readtac$ext.TacPage?sl=R&amp;app=9&amp;p_dir=&amp;p_rloc=&amp;p_tloc=&amp;p_ploc=&amp;pg=1&amp;p_tac=&amp;ti=30&amp;pt=1&amp;ch=111&amp;rl=171</t>
  </si>
  <si>
    <r>
      <rPr>
        <i/>
        <sz val="11"/>
        <rFont val="Arial"/>
        <family val="2"/>
      </rPr>
      <t>Developed by:</t>
    </r>
    <r>
      <rPr>
        <sz val="11"/>
        <rFont val="Arial"/>
        <family val="2"/>
      </rPr>
      <t xml:space="preserve">
</t>
    </r>
    <r>
      <rPr>
        <b/>
        <sz val="11"/>
        <rFont val="Arial"/>
        <family val="2"/>
      </rPr>
      <t>TCEQ Air Permits Division
Mechanical Coatings Section - Mechanical Team</t>
    </r>
    <r>
      <rPr>
        <sz val="11"/>
        <rFont val="Arial"/>
        <family val="2"/>
      </rPr>
      <t xml:space="preserve">
This spreadsheet calculates emissions of particulate matter and products of combustion from cotton gins. The operational data and plant design for the cotton gin and the controls used for each emission point will be entered on the “Cotton Gin Input Data” worksheet. From this data, the maximum allowable emission rates will be calculated using worksheets for the systems, trash handling, and combustion emissions, and the rates will be displayed in the MAERT worksheet. A summary of emissions is also displayed for the Technical Review. In addition, the process weight allowables are checked for compliance with 30 TAC Chapter §111.171. Note that emission calculations for cotton burr tub grinders are not included in this spreadsheet.</t>
    </r>
  </si>
  <si>
    <t>First Stage Seed-Cotton Cleaning System Particulate Emission Factors for Cotton Gins: Particle Size Distribution Characteristics</t>
  </si>
  <si>
    <t xml:space="preserve">Unloading System Particulate Emission Factors for Cotton Gins: Particle Size Distribution Characteristics </t>
  </si>
  <si>
    <t xml:space="preserve">Second Stage Seed-Cotton Cleaning System Particulate Emission Factors for Cotton Gins: Particle Size Distribution Characteristics </t>
  </si>
  <si>
    <t xml:space="preserve">Third Stage Seed-Cotton Cleaning System Particulate Emission Factors for Cotton Gins: Particle Size Distribution Characteristics </t>
  </si>
  <si>
    <t xml:space="preserve">First Stage Lint Cleaning System Particulate Emission Factors for Cotton Gins: Particle Size Distribution Characteristics </t>
  </si>
  <si>
    <t xml:space="preserve">Second Stage Lint Cleaning System Particulate Emission Factors for Cotton Gins: Particle Size Distribution Characteristics </t>
  </si>
  <si>
    <t xml:space="preserve">Combined Lint Cleaning System Particulate Emission Factors for Cotton Gins: Particle Size Distribution Characteristics </t>
  </si>
  <si>
    <t>Battery Condenser System Particulate Emission Factors for Cotton Gins: Particle Size Distribution Characteristics</t>
  </si>
  <si>
    <t xml:space="preserve">Cyclone Robber System Particulate Emission Factors for Cotton Gins: Particle Size Distribution Characteristics </t>
  </si>
  <si>
    <t xml:space="preserve">First Stage Mote System Particulate Emission Factors for Cotton Gins: Particle Size Distribution Characteristics </t>
  </si>
  <si>
    <t xml:space="preserve">Second Stage Mote System Particulate Emission Factors for Cotton Gins: Particle Size Distribution Characteristics </t>
  </si>
  <si>
    <t xml:space="preserve">Combined Mote System Particulate Emission Factors for Cotton Gins: Particle Size Distribution Characteristics </t>
  </si>
  <si>
    <t xml:space="preserve">Mote Cyclone Robber System Particulate Emission Factors for Cotton Gins: Particle Size Distribution Characteristics </t>
  </si>
  <si>
    <t xml:space="preserve">Master Trash System Particulate Emission Factors for Cotton Gins: Particle Size Distribution Characteristics </t>
  </si>
  <si>
    <t xml:space="preserve">Overflow System Particulate Emission Factors for Cotton Gins: Particle Size Distribution Characteristics </t>
  </si>
  <si>
    <t xml:space="preserve">Mote Trash System Particulate Emission Factors for Cotton Gins: Particle Size Distribution Characteristics </t>
  </si>
  <si>
    <r>
      <t>Emission factors for PM, PM10, and PM2.5 (other than combustion) are from the sampling performed in the USDA Seven Gin National Test. The results of the test were published in a</t>
    </r>
    <r>
      <rPr>
        <i/>
        <sz val="11"/>
        <rFont val="Arial"/>
        <family val="2"/>
      </rPr>
      <t xml:space="preserve"> </t>
    </r>
    <r>
      <rPr>
        <sz val="11"/>
        <rFont val="Arial"/>
        <family val="2"/>
      </rPr>
      <t>series of sixteen papers in the</t>
    </r>
    <r>
      <rPr>
        <i/>
        <sz val="11"/>
        <rFont val="Arial"/>
        <family val="2"/>
      </rPr>
      <t xml:space="preserve"> Journal of Cotton Science </t>
    </r>
    <r>
      <rPr>
        <sz val="11"/>
        <rFont val="Arial"/>
        <family val="2"/>
      </rPr>
      <t>in 2015.  Authors are Michael D. Buser, Derek P. Whitelock  and J.Cliff Boykin, and Greg A. Holt. Paper titles with links are listed below. Weighted averages of data was used for the lint cleaners and mote fans, which makes the factor more conservative by weighting the higher relative value of the combined lint cleaner and combined mote papers. The trash factor also uses the more conservative value in the paper. Using the lower factor could be considered more appropriate, but the higher factor is more conservative.</t>
    </r>
  </si>
  <si>
    <r>
      <t xml:space="preserve">Cotton Gin Worksheet Version No.: </t>
    </r>
    <r>
      <rPr>
        <sz val="11"/>
        <rFont val="Arial"/>
        <family val="2"/>
      </rPr>
      <t>Version 2.0 APDG6492v2</t>
    </r>
    <r>
      <rPr>
        <b/>
        <sz val="11"/>
        <rFont val="Arial"/>
        <family val="2"/>
      </rPr>
      <t xml:space="preserve">
Last Revision Date: </t>
    </r>
    <r>
      <rPr>
        <sz val="11"/>
        <rFont val="Arial"/>
        <family val="2"/>
      </rPr>
      <t>March 18,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</si>
</sst>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13" x14ac:knownFonts="1">
    <font>
      <sz val="10"/>
      <name val="Arial"/>
    </font>
    <font>
      <sz val="8"/>
      <name val="Arial"/>
      <family val="2"/>
    </font>
    <font>
      <sz val="10"/>
      <name val="Arial"/>
      <family val="2"/>
    </font>
    <font>
      <sz val="11"/>
      <name val="Arial"/>
      <family val="2"/>
    </font>
    <font>
      <b/>
      <sz val="11"/>
      <name val="Arial"/>
      <family val="2"/>
    </font>
    <font>
      <sz val="1"/>
      <color theme="0"/>
      <name val="Arial"/>
      <family val="2"/>
    </font>
    <font>
      <b/>
      <sz val="14"/>
      <name val="Arial"/>
      <family val="2"/>
    </font>
    <font>
      <sz val="11"/>
      <color theme="0"/>
      <name val="Arial"/>
      <family val="2"/>
    </font>
    <font>
      <b/>
      <sz val="11"/>
      <color theme="0"/>
      <name val="Arial"/>
      <family val="2"/>
    </font>
    <font>
      <sz val="8"/>
      <color theme="0"/>
      <name val="Arial"/>
      <family val="2"/>
    </font>
    <font>
      <u/>
      <sz val="10"/>
      <color theme="10"/>
      <name val="Arial"/>
      <family val="2"/>
    </font>
    <font>
      <u/>
      <sz val="11"/>
      <color theme="10"/>
      <name val="Arial"/>
      <family val="2"/>
    </font>
    <font>
      <i/>
      <sz val="11"/>
      <name val="Arial"/>
      <family val="2"/>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right style="thick">
        <color auto="1"/>
      </right>
      <top/>
      <bottom/>
      <diagonal/>
    </border>
    <border>
      <left/>
      <right/>
      <top/>
      <bottom style="thick">
        <color auto="1"/>
      </bottom>
      <diagonal/>
    </border>
    <border>
      <left style="medium">
        <color auto="1"/>
      </left>
      <right style="thick">
        <color auto="1"/>
      </right>
      <top/>
      <bottom/>
      <diagonal/>
    </border>
    <border>
      <left style="medium">
        <color auto="1"/>
      </left>
      <right style="thick">
        <color auto="1"/>
      </right>
      <top/>
      <bottom style="thick">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medium">
        <color auto="1"/>
      </right>
      <top/>
      <bottom/>
      <diagonal/>
    </border>
    <border>
      <left/>
      <right style="medium">
        <color auto="1"/>
      </right>
      <top/>
      <bottom style="thick">
        <color auto="1"/>
      </bottom>
      <diagonal/>
    </border>
    <border>
      <left/>
      <right style="thick">
        <color auto="1"/>
      </right>
      <top style="medium">
        <color auto="1"/>
      </top>
      <bottom style="medium">
        <color auto="1"/>
      </bottom>
      <diagonal/>
    </border>
    <border>
      <left/>
      <right/>
      <top/>
      <bottom style="medium">
        <color auto="1"/>
      </bottom>
      <diagonal/>
    </border>
    <border>
      <left style="medium">
        <color auto="1"/>
      </left>
      <right style="medium">
        <color auto="1"/>
      </right>
      <top style="thick">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ck">
        <color auto="1"/>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bottom style="medium">
        <color auto="1"/>
      </bottom>
      <diagonal/>
    </border>
    <border>
      <left/>
      <right style="thick">
        <color auto="1"/>
      </right>
      <top style="thick">
        <color auto="1"/>
      </top>
      <bottom/>
      <diagonal/>
    </border>
    <border>
      <left/>
      <right style="medium">
        <color auto="1"/>
      </right>
      <top style="thick">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72">
    <xf numFmtId="0" fontId="0" fillId="0" borderId="0" xfId="0"/>
    <xf numFmtId="164" fontId="0" fillId="0" borderId="0" xfId="0" applyNumberFormat="1"/>
    <xf numFmtId="0" fontId="0" fillId="0" borderId="0" xfId="0"/>
    <xf numFmtId="0" fontId="1" fillId="0" borderId="0" xfId="0" applyFont="1"/>
    <xf numFmtId="0" fontId="3" fillId="0" borderId="0" xfId="0" applyFont="1" applyAlignment="1">
      <alignment vertical="top" wrapText="1"/>
    </xf>
    <xf numFmtId="0" fontId="3" fillId="0" borderId="0" xfId="0" applyFont="1" applyAlignment="1">
      <alignment vertical="top"/>
    </xf>
    <xf numFmtId="0" fontId="3" fillId="0" borderId="0" xfId="0" applyFont="1"/>
    <xf numFmtId="0" fontId="3" fillId="0" borderId="0" xfId="0" applyFont="1"/>
    <xf numFmtId="164" fontId="3" fillId="0" borderId="0" xfId="0" applyNumberFormat="1" applyFont="1"/>
    <xf numFmtId="0" fontId="3" fillId="0" borderId="0" xfId="0" quotePrefix="1" applyFont="1"/>
    <xf numFmtId="2" fontId="3" fillId="0" borderId="0" xfId="0" applyNumberFormat="1" applyFont="1"/>
    <xf numFmtId="0" fontId="5" fillId="0" borderId="0" xfId="0" applyFont="1" applyAlignment="1">
      <alignment horizontal="center"/>
    </xf>
    <xf numFmtId="0" fontId="4" fillId="0" borderId="0" xfId="0" applyFont="1" applyBorder="1" applyAlignment="1">
      <alignment vertical="center" wrapText="1"/>
    </xf>
    <xf numFmtId="1" fontId="3"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3" fontId="3" fillId="0" borderId="0" xfId="0" quotePrefix="1" applyNumberFormat="1" applyFont="1"/>
    <xf numFmtId="0" fontId="3" fillId="0" borderId="0" xfId="0" applyFont="1" applyAlignment="1">
      <alignment horizontal="right"/>
    </xf>
    <xf numFmtId="0" fontId="3" fillId="0" borderId="0" xfId="0" applyFont="1" applyAlignment="1">
      <alignment vertical="center" wrapText="1"/>
    </xf>
    <xf numFmtId="0" fontId="3" fillId="0" borderId="0" xfId="0" quotePrefix="1" applyFont="1" applyBorder="1"/>
    <xf numFmtId="3" fontId="3" fillId="0" borderId="0" xfId="0" quotePrefix="1" applyNumberFormat="1" applyFont="1" applyBorder="1"/>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left" vertical="top" wrapText="1"/>
    </xf>
    <xf numFmtId="2" fontId="3" fillId="0" borderId="0" xfId="0" applyNumberFormat="1" applyFont="1" applyBorder="1" applyAlignment="1">
      <alignment horizontal="right"/>
    </xf>
    <xf numFmtId="2" fontId="3" fillId="0" borderId="0" xfId="0" applyNumberFormat="1" applyFont="1" applyFill="1" applyBorder="1" applyAlignment="1">
      <alignment horizontal="right"/>
    </xf>
    <xf numFmtId="0" fontId="4" fillId="0" borderId="21" xfId="0" applyFont="1" applyBorder="1" applyAlignment="1">
      <alignment horizontal="left"/>
    </xf>
    <xf numFmtId="0" fontId="3" fillId="0" borderId="22" xfId="0" applyFont="1" applyBorder="1"/>
    <xf numFmtId="2" fontId="3" fillId="0" borderId="22" xfId="0" applyNumberFormat="1" applyFont="1" applyFill="1" applyBorder="1" applyAlignment="1">
      <alignment horizontal="right"/>
    </xf>
    <xf numFmtId="2" fontId="3" fillId="0" borderId="0" xfId="0" applyNumberFormat="1" applyFont="1" applyBorder="1"/>
    <xf numFmtId="0" fontId="5" fillId="0" borderId="0" xfId="0" applyFont="1" applyAlignment="1">
      <alignment horizontal="center"/>
    </xf>
    <xf numFmtId="0" fontId="4" fillId="0" borderId="10" xfId="0" applyFont="1" applyBorder="1"/>
    <xf numFmtId="0" fontId="3" fillId="0" borderId="0" xfId="0" applyFont="1" applyAlignment="1">
      <alignment horizontal="left" vertical="top" wrapText="1"/>
    </xf>
    <xf numFmtId="0" fontId="8" fillId="0" borderId="17" xfId="0" applyFont="1" applyBorder="1"/>
    <xf numFmtId="0" fontId="4" fillId="0" borderId="0" xfId="0" applyFont="1" applyAlignment="1">
      <alignment horizontal="center"/>
    </xf>
    <xf numFmtId="0" fontId="4" fillId="2" borderId="3" xfId="0" applyFont="1" applyFill="1" applyBorder="1" applyAlignment="1" applyProtection="1">
      <alignment horizontal="center"/>
      <protection locked="0"/>
    </xf>
    <xf numFmtId="3" fontId="4" fillId="2" borderId="3" xfId="0" applyNumberFormat="1" applyFont="1" applyFill="1" applyBorder="1" applyAlignment="1" applyProtection="1">
      <alignment horizontal="center"/>
      <protection locked="0"/>
    </xf>
    <xf numFmtId="3" fontId="4" fillId="2" borderId="4"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xf>
    <xf numFmtId="0" fontId="3" fillId="0" borderId="17" xfId="0" quotePrefix="1" applyFont="1" applyBorder="1"/>
    <xf numFmtId="3" fontId="3" fillId="0" borderId="17" xfId="0" quotePrefix="1" applyNumberFormat="1" applyFont="1" applyBorder="1"/>
    <xf numFmtId="0" fontId="7" fillId="0" borderId="10" xfId="0" applyFont="1" applyBorder="1"/>
    <xf numFmtId="164" fontId="3" fillId="0" borderId="0" xfId="0" applyNumberFormat="1" applyFont="1" applyBorder="1"/>
    <xf numFmtId="164" fontId="3" fillId="0" borderId="0" xfId="0" applyNumberFormat="1" applyFont="1" applyFill="1" applyBorder="1"/>
    <xf numFmtId="164" fontId="7" fillId="0" borderId="0" xfId="0" applyNumberFormat="1" applyFont="1" applyFill="1" applyBorder="1" applyAlignment="1">
      <alignment wrapText="1"/>
    </xf>
    <xf numFmtId="0" fontId="7" fillId="0" borderId="0" xfId="0" applyFont="1"/>
    <xf numFmtId="0" fontId="9" fillId="0" borderId="0" xfId="0" applyFont="1"/>
    <xf numFmtId="0" fontId="2" fillId="0" borderId="0" xfId="0" applyFont="1" applyAlignment="1">
      <alignment horizontal="left" vertical="top" wrapText="1"/>
    </xf>
    <xf numFmtId="0" fontId="3" fillId="0" borderId="0" xfId="0" applyFont="1" applyBorder="1"/>
    <xf numFmtId="0" fontId="3" fillId="0" borderId="2" xfId="0" applyFont="1" applyBorder="1"/>
    <xf numFmtId="0" fontId="4" fillId="0" borderId="0" xfId="0" applyFont="1" applyBorder="1"/>
    <xf numFmtId="0" fontId="4" fillId="0" borderId="0" xfId="0" applyFont="1" applyBorder="1" applyAlignment="1">
      <alignment horizontal="left"/>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Alignment="1">
      <alignment horizontal="left"/>
    </xf>
    <xf numFmtId="0" fontId="0" fillId="0" borderId="0" xfId="0" applyAlignment="1">
      <alignment horizontal="left"/>
    </xf>
    <xf numFmtId="164" fontId="4" fillId="0" borderId="0" xfId="0" applyNumberFormat="1" applyFont="1" applyBorder="1"/>
    <xf numFmtId="164" fontId="4" fillId="0" borderId="0" xfId="0" applyNumberFormat="1" applyFont="1" applyFill="1" applyBorder="1"/>
    <xf numFmtId="0" fontId="7" fillId="0" borderId="23" xfId="0" applyFont="1" applyFill="1" applyBorder="1"/>
    <xf numFmtId="0" fontId="7" fillId="0" borderId="23" xfId="0" applyFont="1" applyFill="1" applyBorder="1" applyAlignment="1">
      <alignment horizontal="left"/>
    </xf>
    <xf numFmtId="164" fontId="3" fillId="0" borderId="0" xfId="0" applyNumberFormat="1" applyFont="1" applyFill="1" applyBorder="1" applyAlignment="1" applyProtection="1">
      <alignment horizontal="right"/>
      <protection locked="0"/>
    </xf>
    <xf numFmtId="0" fontId="3" fillId="0" borderId="17" xfId="0" applyFont="1" applyBorder="1"/>
    <xf numFmtId="0" fontId="7" fillId="0" borderId="0" xfId="0" applyFont="1" applyBorder="1"/>
    <xf numFmtId="0" fontId="7" fillId="0" borderId="22" xfId="0" applyFont="1" applyBorder="1"/>
    <xf numFmtId="0" fontId="4" fillId="0" borderId="20" xfId="0" applyFont="1" applyBorder="1" applyAlignment="1">
      <alignment horizontal="left"/>
    </xf>
    <xf numFmtId="0" fontId="8" fillId="0" borderId="0" xfId="0" applyFont="1" applyBorder="1"/>
    <xf numFmtId="0" fontId="4" fillId="0" borderId="26" xfId="0" applyFont="1" applyBorder="1" applyAlignment="1">
      <alignment vertical="center" wrapText="1"/>
    </xf>
    <xf numFmtId="0" fontId="8" fillId="0" borderId="23" xfId="0" applyFont="1" applyBorder="1"/>
    <xf numFmtId="0" fontId="8" fillId="0" borderId="28" xfId="0" applyFont="1" applyBorder="1"/>
    <xf numFmtId="0" fontId="8" fillId="0" borderId="7" xfId="0" applyFont="1" applyBorder="1"/>
    <xf numFmtId="0" fontId="8" fillId="0" borderId="19" xfId="0" applyFont="1" applyBorder="1"/>
    <xf numFmtId="0" fontId="8" fillId="0" borderId="1" xfId="0" applyFont="1" applyBorder="1"/>
    <xf numFmtId="0" fontId="8" fillId="0" borderId="23" xfId="0" applyFont="1" applyBorder="1" applyAlignment="1">
      <alignment horizontal="left" vertical="center" wrapText="1"/>
    </xf>
    <xf numFmtId="0" fontId="8" fillId="0" borderId="28" xfId="0" applyFont="1" applyBorder="1" applyAlignment="1">
      <alignment horizontal="left" vertical="center" wrapText="1"/>
    </xf>
    <xf numFmtId="0" fontId="7" fillId="0" borderId="1" xfId="0" applyFont="1" applyBorder="1"/>
    <xf numFmtId="3" fontId="3" fillId="0" borderId="19" xfId="0" applyNumberFormat="1" applyFont="1" applyBorder="1"/>
    <xf numFmtId="0" fontId="3" fillId="0" borderId="17" xfId="0" applyFont="1" applyFill="1" applyBorder="1" applyAlignment="1">
      <alignment horizontal="right"/>
    </xf>
    <xf numFmtId="2" fontId="3" fillId="0" borderId="18" xfId="0" applyNumberFormat="1" applyFont="1" applyFill="1" applyBorder="1" applyAlignment="1">
      <alignment horizontal="right"/>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vertical="center" wrapText="1"/>
    </xf>
    <xf numFmtId="0" fontId="3" fillId="0" borderId="18" xfId="0" applyFont="1" applyFill="1" applyBorder="1" applyAlignment="1">
      <alignment horizontal="right" vertical="center" wrapText="1"/>
    </xf>
    <xf numFmtId="3" fontId="3" fillId="0" borderId="29" xfId="0" applyNumberFormat="1" applyFont="1" applyBorder="1" applyAlignment="1">
      <alignment vertical="center" wrapText="1"/>
    </xf>
    <xf numFmtId="0" fontId="3" fillId="0" borderId="29" xfId="0" applyFont="1" applyFill="1" applyBorder="1" applyAlignment="1">
      <alignment horizontal="right" vertical="center" wrapText="1"/>
    </xf>
    <xf numFmtId="2" fontId="3" fillId="0" borderId="29" xfId="0" applyNumberFormat="1" applyFont="1" applyFill="1" applyBorder="1" applyAlignment="1">
      <alignment horizontal="right" vertical="center" wrapText="1"/>
    </xf>
    <xf numFmtId="0" fontId="3" fillId="0" borderId="16" xfId="0" applyFont="1" applyFill="1" applyBorder="1" applyAlignment="1">
      <alignment horizontal="right" vertical="center" wrapText="1"/>
    </xf>
    <xf numFmtId="0" fontId="4" fillId="0" borderId="0" xfId="0" applyFont="1" applyFill="1" applyBorder="1" applyAlignment="1">
      <alignment vertical="center"/>
    </xf>
    <xf numFmtId="0" fontId="4" fillId="0" borderId="26" xfId="0" applyFont="1" applyBorder="1" applyAlignment="1">
      <alignment horizontal="left" vertical="center" wrapText="1"/>
    </xf>
    <xf numFmtId="164" fontId="4" fillId="0" borderId="0" xfId="0" applyNumberFormat="1" applyFont="1" applyFill="1" applyBorder="1" applyAlignment="1">
      <alignment horizontal="right" vertical="center"/>
    </xf>
    <xf numFmtId="0" fontId="8" fillId="0" borderId="0" xfId="0" applyFont="1" applyBorder="1" applyAlignment="1">
      <alignment horizontal="left" vertical="center"/>
    </xf>
    <xf numFmtId="0" fontId="3" fillId="0" borderId="10" xfId="0" applyFont="1" applyBorder="1" applyAlignment="1">
      <alignment horizontal="left"/>
    </xf>
    <xf numFmtId="164" fontId="7" fillId="0" borderId="10" xfId="0" applyNumberFormat="1" applyFont="1" applyFill="1" applyBorder="1" applyAlignment="1">
      <alignment wrapText="1"/>
    </xf>
    <xf numFmtId="2" fontId="3" fillId="0" borderId="17" xfId="0" applyNumberFormat="1" applyFont="1" applyBorder="1"/>
    <xf numFmtId="2" fontId="3" fillId="0" borderId="18" xfId="0" applyNumberFormat="1" applyFont="1" applyBorder="1"/>
    <xf numFmtId="2" fontId="3" fillId="0" borderId="7" xfId="0" applyNumberFormat="1" applyFont="1" applyBorder="1"/>
    <xf numFmtId="164" fontId="3" fillId="0" borderId="16" xfId="0" applyNumberFormat="1" applyFont="1" applyBorder="1"/>
    <xf numFmtId="164" fontId="3" fillId="0" borderId="19" xfId="0" applyNumberFormat="1" applyFont="1" applyBorder="1"/>
    <xf numFmtId="164" fontId="3" fillId="0" borderId="17" xfId="0" applyNumberFormat="1" applyFont="1" applyBorder="1"/>
    <xf numFmtId="0" fontId="3" fillId="0" borderId="0" xfId="0" applyFont="1" applyBorder="1"/>
    <xf numFmtId="0" fontId="0" fillId="0" borderId="0" xfId="0" applyProtection="1"/>
    <xf numFmtId="0" fontId="4" fillId="0" borderId="10" xfId="0" applyFont="1" applyBorder="1" applyAlignment="1" applyProtection="1">
      <alignment vertical="center"/>
    </xf>
    <xf numFmtId="0" fontId="4" fillId="0" borderId="10" xfId="0" applyFont="1" applyBorder="1" applyAlignment="1" applyProtection="1">
      <alignment vertical="center" wrapText="1"/>
    </xf>
    <xf numFmtId="0" fontId="3" fillId="0" borderId="0" xfId="0" applyFont="1" applyBorder="1" applyProtection="1"/>
    <xf numFmtId="164" fontId="3"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Fill="1" applyBorder="1" applyAlignment="1" applyProtection="1">
      <alignment horizontal="center"/>
    </xf>
    <xf numFmtId="0" fontId="4" fillId="0" borderId="0" xfId="0" applyFont="1" applyBorder="1" applyAlignment="1" applyProtection="1">
      <alignment vertical="center" wrapText="1"/>
    </xf>
    <xf numFmtId="0" fontId="8" fillId="0" borderId="0" xfId="0" applyFont="1" applyBorder="1" applyAlignment="1" applyProtection="1">
      <alignment vertical="center"/>
    </xf>
    <xf numFmtId="164" fontId="4" fillId="0" borderId="0" xfId="0" applyNumberFormat="1" applyFont="1" applyFill="1" applyBorder="1" applyAlignment="1" applyProtection="1">
      <alignment horizontal="right" vertical="center"/>
    </xf>
    <xf numFmtId="0" fontId="7" fillId="0" borderId="0" xfId="0" applyFont="1" applyFill="1" applyBorder="1" applyProtection="1"/>
    <xf numFmtId="0" fontId="4" fillId="0" borderId="0" xfId="0" applyFont="1" applyBorder="1" applyAlignment="1">
      <alignment horizontal="left" vertical="center"/>
    </xf>
    <xf numFmtId="164" fontId="4" fillId="0" borderId="0" xfId="0" applyNumberFormat="1" applyFont="1" applyBorder="1" applyAlignment="1">
      <alignment horizontal="left" vertical="center"/>
    </xf>
    <xf numFmtId="2" fontId="0" fillId="0" borderId="0" xfId="0" applyNumberFormat="1"/>
    <xf numFmtId="0" fontId="6" fillId="0" borderId="0" xfId="0" applyFont="1" applyAlignment="1">
      <alignment horizontal="center" vertical="center"/>
    </xf>
    <xf numFmtId="0" fontId="4" fillId="0" borderId="30" xfId="0" applyFont="1" applyBorder="1" applyAlignment="1">
      <alignment horizontal="left" vertical="center" wrapText="1"/>
    </xf>
    <xf numFmtId="0" fontId="4" fillId="0" borderId="30"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11" fillId="0" borderId="0" xfId="1" applyFont="1"/>
    <xf numFmtId="0" fontId="11" fillId="0" borderId="0" xfId="1" applyFont="1" applyFill="1"/>
    <xf numFmtId="0" fontId="11" fillId="0" borderId="10" xfId="1" applyFont="1" applyBorder="1"/>
    <xf numFmtId="0" fontId="3" fillId="0" borderId="23" xfId="0" applyFont="1" applyFill="1" applyBorder="1" applyAlignment="1" applyProtection="1">
      <alignment horizontal="left" vertical="top" wrapText="1"/>
    </xf>
    <xf numFmtId="0" fontId="3" fillId="0" borderId="23" xfId="0" applyFont="1" applyFill="1" applyBorder="1" applyAlignment="1" applyProtection="1">
      <alignment horizontal="left" vertical="top"/>
    </xf>
    <xf numFmtId="0" fontId="3" fillId="0" borderId="0" xfId="0" applyFont="1" applyBorder="1" applyProtection="1"/>
    <xf numFmtId="0" fontId="3" fillId="0" borderId="7" xfId="0" applyFont="1" applyBorder="1" applyProtection="1"/>
    <xf numFmtId="0" fontId="3" fillId="0" borderId="2" xfId="0" applyFont="1" applyBorder="1" applyProtection="1"/>
    <xf numFmtId="0" fontId="3" fillId="0" borderId="8" xfId="0" applyFont="1" applyBorder="1" applyProtection="1"/>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0" xfId="0" applyFont="1" applyAlignment="1" applyProtection="1">
      <alignment horizontal="center"/>
    </xf>
    <xf numFmtId="0" fontId="6" fillId="0" borderId="0" xfId="0" applyFont="1" applyAlignment="1" applyProtection="1">
      <alignment horizontal="center" vertical="center"/>
    </xf>
    <xf numFmtId="0" fontId="3" fillId="0" borderId="0" xfId="0" applyFont="1" applyAlignment="1" applyProtection="1">
      <alignment vertical="top" wrapText="1"/>
    </xf>
    <xf numFmtId="0" fontId="3" fillId="0" borderId="0" xfId="0" applyFont="1" applyAlignment="1" applyProtection="1">
      <alignment vertical="top"/>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 fillId="0" borderId="17" xfId="0" applyFont="1" applyBorder="1" applyProtection="1"/>
    <xf numFmtId="0" fontId="3" fillId="0" borderId="18" xfId="0" applyFont="1" applyBorder="1" applyProtection="1"/>
    <xf numFmtId="0" fontId="3" fillId="0" borderId="0" xfId="0" applyFont="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3" fillId="0" borderId="0" xfId="0" applyFont="1" applyAlignment="1">
      <alignment vertical="top" wrapText="1"/>
    </xf>
    <xf numFmtId="0" fontId="11" fillId="0" borderId="2" xfId="1" applyFont="1" applyBorder="1" applyAlignment="1">
      <alignment vertical="top"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0" xfId="0" applyFont="1" applyFill="1" applyAlignment="1">
      <alignment horizontal="left" vertical="top" wrapText="1"/>
    </xf>
    <xf numFmtId="0" fontId="4" fillId="0" borderId="23"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left"/>
    </xf>
    <xf numFmtId="0" fontId="4" fillId="0" borderId="5" xfId="0" applyFont="1" applyBorder="1" applyAlignment="1">
      <alignment horizontal="center" vertical="center" wrapText="1"/>
    </xf>
  </cellXfs>
  <cellStyles count="2">
    <cellStyle name="Hyperlink" xfId="1" builtinId="8"/>
    <cellStyle name="Normal" xfId="0" builtinId="0"/>
  </cellStyles>
  <dxfs count="122">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0.000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border diagonalUp="0" diagonalDown="0">
        <left/>
        <right/>
        <top/>
        <bottom style="thick">
          <color auto="1"/>
        </bottom>
      </border>
    </dxf>
    <dxf>
      <font>
        <b val="0"/>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0.000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0.000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diagonalUp="0" diagonalDown="0">
        <left/>
        <right style="thick">
          <color auto="1"/>
        </right>
        <top style="medium">
          <color auto="1"/>
        </top>
        <bottom style="thick">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diagonalUp="0" diagonalDown="0">
        <left/>
        <right style="thick">
          <color auto="1"/>
        </right>
        <top style="medium">
          <color auto="1"/>
        </top>
        <bottom style="thick">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border diagonalUp="0" diagonalDown="0">
        <left/>
        <right style="thick">
          <color auto="1"/>
        </right>
        <top style="medium">
          <color auto="1"/>
        </top>
        <bottom style="thick">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medium">
          <color auto="1"/>
        </bottom>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64" formatCode="0.0000"/>
    </dxf>
    <dxf>
      <font>
        <b val="0"/>
        <i val="0"/>
        <strike val="0"/>
        <condense val="0"/>
        <extend val="0"/>
        <outline val="0"/>
        <shadow val="0"/>
        <u val="none"/>
        <vertAlign val="baseline"/>
        <sz val="11"/>
        <color auto="1"/>
        <name val="Arial"/>
        <family val="2"/>
        <scheme val="none"/>
      </font>
      <numFmt numFmtId="2" formatCode="0.00"/>
      <border diagonalUp="0" diagonalDown="0">
        <left/>
        <right style="medium">
          <color auto="1"/>
        </right>
        <top/>
        <bottom/>
        <vertical/>
        <horizontal/>
      </border>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64" formatCode="0.0000"/>
      <border diagonalUp="0" diagonalDown="0">
        <left style="medium">
          <color auto="1"/>
        </left>
        <right/>
        <top/>
        <bottom/>
        <vertical/>
        <horizont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medium">
          <color auto="1"/>
        </left>
        <right/>
        <top/>
        <bottom/>
        <vertical/>
        <horizontal/>
      </border>
    </dxf>
    <dxf>
      <font>
        <b val="0"/>
        <i val="0"/>
        <strike val="0"/>
        <condense val="0"/>
        <extend val="0"/>
        <outline val="0"/>
        <shadow val="0"/>
        <u val="none"/>
        <vertAlign val="baseline"/>
        <sz val="11"/>
        <color auto="1"/>
        <name val="Arial"/>
        <family val="2"/>
        <scheme val="none"/>
      </font>
      <numFmt numFmtId="3" formatCode="#,##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diagonalUp="0" diagonalDown="0">
        <left/>
        <right style="thick">
          <color auto="1"/>
        </right>
        <top style="medium">
          <color auto="1"/>
        </top>
        <bottom style="thick">
          <color auto="1"/>
        </bottom>
      </border>
    </dxf>
    <dxf>
      <font>
        <b val="0"/>
        <i val="0"/>
        <strike val="0"/>
        <condense val="0"/>
        <extend val="0"/>
        <outline val="0"/>
        <shadow val="0"/>
        <u val="none"/>
        <vertAlign val="baseline"/>
        <sz val="11"/>
        <color auto="1"/>
        <name val="Arial"/>
        <family val="2"/>
        <scheme val="none"/>
      </font>
    </dxf>
    <dxf>
      <border outline="0">
        <bottom style="medium">
          <color auto="1"/>
        </bottom>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64" formatCode="0.0000"/>
    </dxf>
    <dxf>
      <font>
        <b val="0"/>
        <i val="0"/>
        <strike val="0"/>
        <condense val="0"/>
        <extend val="0"/>
        <outline val="0"/>
        <shadow val="0"/>
        <u val="none"/>
        <vertAlign val="baseline"/>
        <sz val="11"/>
        <color auto="1"/>
        <name val="Arial"/>
        <family val="2"/>
        <scheme val="none"/>
      </font>
      <numFmt numFmtId="2" formatCode="0.00"/>
      <border diagonalUp="0" diagonalDown="0">
        <left/>
        <right style="medium">
          <color auto="1"/>
        </right>
        <top/>
        <bottom/>
        <vertical/>
        <horizontal/>
      </border>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64" formatCode="0.0000"/>
      <border diagonalUp="0" diagonalDown="0">
        <left style="medium">
          <color auto="1"/>
        </left>
        <right/>
        <top/>
        <bottom/>
        <vertical/>
        <horizontal/>
      </border>
    </dxf>
    <dxf>
      <font>
        <b val="0"/>
        <i val="0"/>
        <strike val="0"/>
        <condense val="0"/>
        <extend val="0"/>
        <outline val="0"/>
        <shadow val="0"/>
        <u val="none"/>
        <vertAlign val="baseline"/>
        <sz val="11"/>
        <color auto="1"/>
        <name val="Arial"/>
        <family val="2"/>
        <scheme val="none"/>
      </font>
      <numFmt numFmtId="2" formatCode="0.00"/>
      <border diagonalUp="0" diagonalDown="0">
        <left/>
        <right style="medium">
          <color auto="1"/>
        </right>
        <top/>
        <bottom/>
        <vertical/>
        <horizontal/>
      </border>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64" formatCode="0.0000"/>
      <border diagonalUp="0" diagonalDown="0">
        <left style="medium">
          <color auto="1"/>
        </left>
        <right/>
        <top/>
        <bottom/>
        <vertical/>
        <horizontal/>
      </border>
    </dxf>
    <dxf>
      <font>
        <b val="0"/>
        <i val="0"/>
        <strike val="0"/>
        <condense val="0"/>
        <extend val="0"/>
        <outline val="0"/>
        <shadow val="0"/>
        <u val="none"/>
        <vertAlign val="baseline"/>
        <sz val="11"/>
        <color auto="1"/>
        <name val="Arial"/>
        <family val="2"/>
        <scheme val="none"/>
      </font>
      <numFmt numFmtId="3" formatCode="#,##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diagonalUp="0" diagonalDown="0">
        <left/>
        <right style="thick">
          <color auto="1"/>
        </right>
        <top style="medium">
          <color auto="1"/>
        </top>
        <bottom style="thick">
          <color auto="1"/>
        </bottom>
      </border>
    </dxf>
    <dxf>
      <font>
        <b val="0"/>
        <i val="0"/>
        <strike val="0"/>
        <condense val="0"/>
        <extend val="0"/>
        <outline val="0"/>
        <shadow val="0"/>
        <u val="none"/>
        <vertAlign val="baseline"/>
        <sz val="11"/>
        <color auto="1"/>
        <name val="Arial"/>
        <family val="2"/>
        <scheme val="none"/>
      </font>
    </dxf>
    <dxf>
      <border outline="0">
        <bottom style="medium">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style="medium">
          <color auto="1"/>
        </right>
        <top style="medium">
          <color auto="1"/>
        </top>
        <bottom style="medium">
          <color auto="1"/>
        </bottom>
        <vertical style="medium">
          <color auto="1"/>
        </vertical>
        <horizontal style="medium">
          <color auto="1"/>
        </horizontal>
      </border>
    </dxf>
    <dxf>
      <border>
        <top style="medium">
          <color auto="1"/>
        </top>
      </border>
    </dxf>
    <dxf>
      <border diagonalUp="0" diagonalDown="0">
        <left/>
        <right style="thick">
          <color auto="1"/>
        </right>
        <top style="medium">
          <color auto="1"/>
        </top>
        <bottom style="thick">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medium">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dxf>
    <dxf>
      <border diagonalUp="0" diagonalDown="0">
        <left/>
        <right style="thick">
          <color auto="1"/>
        </right>
        <top style="medium">
          <color auto="1"/>
        </top>
        <bottom style="thick">
          <color auto="1"/>
        </bottom>
      </border>
    </dxf>
    <dxf>
      <border outline="0">
        <bottom style="medium">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theme="0"/>
        <name val="Arial"/>
        <family val="2"/>
        <scheme val="none"/>
      </font>
    </dxf>
    <dxf>
      <border diagonalUp="0" diagonalDown="0">
        <left/>
        <right style="thick">
          <color auto="1"/>
        </right>
        <bottom style="thick">
          <color auto="1"/>
        </bottom>
      </border>
    </dxf>
    <dxf>
      <border outline="0">
        <bottom style="medium">
          <color auto="1"/>
        </bottom>
      </border>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protection locked="1" hidden="0"/>
    </dxf>
    <dxf>
      <font>
        <b val="0"/>
        <i val="0"/>
        <strike val="0"/>
        <condense val="0"/>
        <extend val="0"/>
        <outline val="0"/>
        <shadow val="0"/>
        <u val="none"/>
        <vertAlign val="baseline"/>
        <sz val="11"/>
        <color auto="1"/>
        <name val="Arial"/>
        <family val="2"/>
        <scheme val="none"/>
      </font>
      <fill>
        <patternFill patternType="solid">
          <fgColor indexed="64"/>
          <bgColor theme="2" tint="-9.9978637043366805E-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protection locked="1" hidden="0"/>
    </dxf>
    <dxf>
      <protection locked="1" hidden="0"/>
    </dxf>
    <dxf>
      <border diagonalUp="0" diagonalDown="0">
        <left/>
        <right style="thick">
          <color auto="1"/>
        </right>
        <top style="medium">
          <color auto="1"/>
        </top>
        <bottom style="thick">
          <color auto="1"/>
        </bottom>
      </border>
    </dxf>
    <dxf>
      <protection locked="1" hidden="0"/>
    </dxf>
    <dxf>
      <border outline="0">
        <bottom style="medium">
          <color auto="1"/>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protection locked="1" hidden="0"/>
    </dxf>
  </dxfs>
  <tableStyles count="1" defaultTableStyle="TableStyleMedium2" defaultPivotStyle="PivotStyleLight16">
    <tableStyle name="Table Style 1" pivot="0" count="0" xr9:uid="{211B5D4E-067F-4D2E-84B2-9AF7149678E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50C314-38DB-4174-AFD4-F6F9ED696811}" name="Table3" displayName="Table3" ref="A11:G28" totalsRowShown="0" headerRowDxfId="121" dataDxfId="119" headerRowBorderDxfId="120" tableBorderDxfId="118">
  <autoFilter ref="A11:G28" xr:uid="{9A8314E1-4288-46DA-AABB-87E43E507549}"/>
  <tableColumns count="7">
    <tableColumn id="1" xr3:uid="{FD66738A-101D-434D-95AE-77F98013F572}" name="Emission Point" dataDxfId="117"/>
    <tableColumn id="2" xr3:uid="{C2295AF1-1370-435C-9848-35CB088D04F9}" name="Abatement Device Sampled" dataDxfId="116"/>
    <tableColumn id="3" xr3:uid="{D74A6961-F1A0-48D5-AFD8-15751F1A96DB}" name="lb/bale_x000a_(g)" dataDxfId="115"/>
    <tableColumn id="4" xr3:uid="{CF992C57-E09E-4DD1-B309-54162441F557}" name="Control Type" dataDxfId="114"/>
    <tableColumn id="5" xr3:uid="{BBB31A5A-2A07-4ACF-8FB8-E6516504E3DC}" name="Proposed Abatement" dataDxfId="113"/>
    <tableColumn id="6" xr3:uid="{ADB7ED9F-97C1-4A3E-9519-DAF773F0D538}" name="Factor _x000a_(a - f)" dataDxfId="112"/>
    <tableColumn id="7" xr3:uid="{B4DD52CA-564E-4B90-919A-3A0187D5E3B7}" name="Emissions_x000a_(lb/bale)" dataDxfId="11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CE06E35-E3E7-4DD1-9B8A-6C4C65963785}" name="Table14" displayName="Table14" ref="A6:F20" totalsRowShown="0" headerRowDxfId="21" dataDxfId="20">
  <autoFilter ref="A6:F20" xr:uid="{2EBCB5C8-C9E4-4016-BF44-14D2EDC01A72}"/>
  <tableColumns count="6">
    <tableColumn id="1" xr3:uid="{00E3FF30-B696-41B9-BB92-B2CDA62240FD}" name="Number of Stands with Cyclones on Both Lint Cleaners:"/>
    <tableColumn id="2" xr3:uid="{6746C6CA-8002-43F9-BD01-DB5BB15EBEB7}" name="Cleaner" dataDxfId="19"/>
    <tableColumn id="3" xr3:uid="{913DFC86-0511-4011-8995-60A0869F275D}" name="1" dataDxfId="18"/>
    <tableColumn id="4" xr3:uid="{A275DC05-C933-4D90-A667-05D1E23995C2}" name="2" dataDxfId="17"/>
    <tableColumn id="5" xr3:uid="{36BAAE1E-1B2C-4D55-AC81-55D5A6AAEB2B}" name="3" dataDxfId="16"/>
    <tableColumn id="6" xr3:uid="{CBC3D9A6-39EB-4BC8-88DC-9537FB93426A}" name="4" dataDxfId="1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71E2C15-1918-4D95-B878-086521CD0A75}" name="Table15" displayName="Table15" ref="A22:F36" totalsRowShown="0" headerRowDxfId="14" dataDxfId="13">
  <autoFilter ref="A22:F36" xr:uid="{28E5061E-AD42-4E61-ADD1-89EFE2748DC6}"/>
  <tableColumns count="6">
    <tableColumn id="1" xr3:uid="{DC0A6873-9EE2-493C-BC8C-07FB0FB9D1AA}" name="Number of Stands with Cyclones on Both Lint Cleaners:"/>
    <tableColumn id="2" xr3:uid="{65A21FF0-597B-4AAC-A0D4-616E07021834}" name="Cleaner" dataDxfId="12"/>
    <tableColumn id="3" xr3:uid="{A7C4CAA6-BCA7-4FAE-9AC4-188698938943}" name="1" dataDxfId="11"/>
    <tableColumn id="4" xr3:uid="{D66D793D-3BBD-4506-9EDC-B75C658B136F}" name="2" dataDxfId="10"/>
    <tableColumn id="5" xr3:uid="{C655DE94-3CFD-4B68-9897-1D1226AB9267}" name="3" dataDxfId="9"/>
    <tableColumn id="6" xr3:uid="{C9D2D6C9-7847-4A87-854A-21BF3664B9CD}" name="4" dataDxfId="8"/>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800D445-2ADE-4F17-81E5-168377C3970F}" name="Table16" displayName="Table16" ref="A38:F52" totalsRowShown="0" headerRowDxfId="7" dataDxfId="6" tableBorderDxfId="5">
  <autoFilter ref="A38:F52" xr:uid="{8440AAE4-63D2-4BA3-9DDA-BF0F46177B56}"/>
  <tableColumns count="6">
    <tableColumn id="1" xr3:uid="{6BCA98EB-3DE4-4A25-A696-6CCF09AE33E6}" name="Number of Stands with Cyclones on Both Lint Cleaners:"/>
    <tableColumn id="2" xr3:uid="{503C561A-6DB5-443E-A266-120C2940BD65}" name="Cleaner" dataDxfId="4"/>
    <tableColumn id="3" xr3:uid="{9802DCC4-8208-4D2D-87DD-81DAE5715858}" name="1" dataDxfId="3"/>
    <tableColumn id="4" xr3:uid="{014E5B99-2407-4122-BE55-37E6F8A1FA96}" name="2" dataDxfId="2"/>
    <tableColumn id="5" xr3:uid="{389D12AF-28D1-4E76-8C98-EB1C520C2251}" name="3" dataDxfId="1"/>
    <tableColumn id="6" xr3:uid="{4D40D838-85D6-44B5-90DA-5B14F728EE5F}" name="4"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9AAF9C-FB1E-4873-B2BC-734EB7CA4380}" name="Table5" displayName="Table5" ref="A6:D25" totalsRowShown="0" headerRowBorderDxfId="110" tableBorderDxfId="109">
  <autoFilter ref="A6:D25" xr:uid="{B6EAFC03-C7E4-4731-8E8C-C565E200F14D}"/>
  <tableColumns count="4">
    <tableColumn id="1" xr3:uid="{43AE88AB-1C70-40B0-B400-A3732FE36C44}" name="Source Name" dataDxfId="108"/>
    <tableColumn id="2" xr3:uid="{F171CCF4-4210-4DF2-A71F-269A730D4E5D}" name="Air Contaminant Name" dataDxfId="107"/>
    <tableColumn id="3" xr3:uid="{7CD461DC-FECF-4E0C-A4D2-B75DFB805506}" name="lb/hr" dataDxfId="106"/>
    <tableColumn id="4" xr3:uid="{A9F388B2-2FE1-45A8-AA57-2BD38D3CB9BA}" name="ton/yr" dataDxfId="10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B68EF18-52DB-4144-B56E-FB3F3D272E85}" name="Table6" displayName="Table6" ref="A5:C12" totalsRowShown="0" headerRowDxfId="104" headerRowBorderDxfId="103" tableBorderDxfId="102">
  <autoFilter ref="A5:C12" xr:uid="{3E0B9EA9-C6C8-492E-B71F-F773D313D7E3}"/>
  <tableColumns count="3">
    <tableColumn id="1" xr3:uid="{380941CC-FABB-4443-8191-E8A528532BE2}" name="Pollutant" dataDxfId="101"/>
    <tableColumn id="2" xr3:uid="{45D79569-0E4F-45EC-AE39-BF227A5F00B6}" name="Proposed Emissions (lb/hour)" dataDxfId="100"/>
    <tableColumn id="3" xr3:uid="{FCC4137F-EE79-4F50-A092-8E212B38DF33}" name="Proposed Emissions (tpy)" dataDxfId="9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A6F734-4CA8-4ECD-86D5-6E176A25347F}" name="Table7" displayName="Table7" ref="A6:L7" totalsRowShown="0" headerRowDxfId="98" dataDxfId="96" headerRowBorderDxfId="97" tableBorderDxfId="95" totalsRowBorderDxfId="94">
  <autoFilter ref="A6:L7" xr:uid="{B7BCCC06-4C97-4DB9-BF8E-CA769AE5D827}"/>
  <tableColumns count="12">
    <tableColumn id="1" xr3:uid="{F729F9C9-84BE-4F29-8E71-EA6842250797}" name="Hourly Baling Rate (bales/hour)" dataDxfId="93">
      <calculatedColumnFormula>'Cotton Gin Input Data'!$G$5</calculatedColumnFormula>
    </tableColumn>
    <tableColumn id="2" xr3:uid="{C85BFDFE-3268-434A-B8D1-D727D2FCF557}" name="Pounds of Field Cotton per Bale (lb/bale)" dataDxfId="92"/>
    <tableColumn id="3" xr3:uid="{4B83354E-2798-4CAD-8E19-B127E06DD5B7}" name="Field Cotton Processed (lb/hour)" dataDxfId="91">
      <calculatedColumnFormula>+A7*B7</calculatedColumnFormula>
    </tableColumn>
    <tableColumn id="4" xr3:uid="{DE9E1D81-2BD2-4775-A2FC-0B4DB9E62C54}" name="Above or Below 40,000 lb/hour Processed?" dataDxfId="90">
      <calculatedColumnFormula>IF(C7&gt;40000,"Above","Below")</calculatedColumnFormula>
    </tableColumn>
    <tableColumn id="5" xr3:uid="{3FB0483C-1973-4405-BCD0-79CB0A4A2E16}" name="Chapter 111 Formula" dataDxfId="89">
      <calculatedColumnFormula>IF(C7&gt;40000,"25.4  *  ( P ^ 0.287 )","3.12  *  ( P ^ 0.985 )")</calculatedColumnFormula>
    </tableColumn>
    <tableColumn id="6" xr3:uid="{3ACF0509-9D6D-4B27-823F-FA42C3C19A71}" name="Process Weight Allowable (lb/hour)" dataDxfId="88">
      <calculatedColumnFormula>IF(C7&gt;40000,(25.4*((C7/2000)^0.287)),(3.12*((C7/2000)^0.985)))</calculatedColumnFormula>
    </tableColumn>
    <tableColumn id="7" xr3:uid="{4856C220-7B94-42F0-867F-5A8435BFF6EA}" name="Preceleaning System PM Emission Rate (lb/hour)" dataDxfId="87">
      <calculatedColumnFormula>'System Calculations'!$E$7</calculatedColumnFormula>
    </tableColumn>
    <tableColumn id="8" xr3:uid="{49F97BFC-FE85-487D-AC99-1252D71BAF3E}" name="Process weight check for Precleaning System (OK?)" dataDxfId="86">
      <calculatedColumnFormula>IF('System Calculations'!$E$7&lt;F7,"OK","Not OK - exceeds PWA")</calculatedColumnFormula>
    </tableColumn>
    <tableColumn id="9" xr3:uid="{0EF822D5-DC34-4583-A1CA-5AF72CDE855B}" name="Trash System PM Emission Rate (lb/hour)" dataDxfId="85">
      <calculatedColumnFormula>'System Calculations'!$E$8</calculatedColumnFormula>
    </tableColumn>
    <tableColumn id="10" xr3:uid="{31B2F15E-E403-4EE0-AD29-28049EB8E69B}" name="Process weight check for Trash System (OK?)" dataDxfId="84">
      <calculatedColumnFormula>IF('System Calculations'!$E$8&lt;F7,"OK","Not OK - exceeds PWA")</calculatedColumnFormula>
    </tableColumn>
    <tableColumn id="11" xr3:uid="{28867B77-886A-43C0-834A-217A69BA3C3F}" name="Lint System PM Emission Rate (lb/hour)" dataDxfId="83">
      <calculatedColumnFormula>'System Calculations'!$E$9</calculatedColumnFormula>
    </tableColumn>
    <tableColumn id="12" xr3:uid="{CF987DE7-4EE6-4879-BB9F-4C9DCAA15141}" name="Process weight check for Lint System (OK?)" dataDxfId="82">
      <calculatedColumnFormula>IF('System Calculations'!$E$9&lt;F7,"OK","Not OK - exceeds PWA")</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A52839-B386-422B-89AD-BE370A9827A4}" name="Table8" displayName="Table8" ref="A6:L9" totalsRowShown="0" headerRowDxfId="81" dataDxfId="79" headerRowBorderDxfId="80" tableBorderDxfId="78">
  <autoFilter ref="A6:L9" xr:uid="{E09CB1AC-8483-4820-9390-0DA43F1AA532}"/>
  <tableColumns count="12">
    <tableColumn id="1" xr3:uid="{157D1057-E756-479C-837C-A4CE853F9F04}" name="System" dataDxfId="77"/>
    <tableColumn id="2" xr3:uid="{71F9CD6A-0764-45E8-95C9-F43AF29DD11A}" name="Hourly Baling Rate (bales/hour)" dataDxfId="76">
      <calculatedColumnFormula>+'Cotton Gin Input Data'!$G$5</calculatedColumnFormula>
    </tableColumn>
    <tableColumn id="3" xr3:uid="{0B1A5F79-2254-4A4D-9647-464C3AD17008}" name="Annual Baling Rate (bales/year)" dataDxfId="75">
      <calculatedColumnFormula>+'Cotton Gin Input Data'!$G$6</calculatedColumnFormula>
    </tableColumn>
    <tableColumn id="4" xr3:uid="{5F585A92-8AF0-440D-BE8C-AC5363ACA166}" name="Emission Rate (lb/bale)" dataDxfId="74"/>
    <tableColumn id="5" xr3:uid="{020C18BE-0430-41D3-B1C0-5310EE201113}" name="lb/hour" dataDxfId="73">
      <calculatedColumnFormula>+B7*D7</calculatedColumnFormula>
    </tableColumn>
    <tableColumn id="6" xr3:uid="{9608C9E4-CDA6-420F-AD0E-A64E75B96D5B}" name="TPY" dataDxfId="72">
      <calculatedColumnFormula>+C7*D7/2000</calculatedColumnFormula>
    </tableColumn>
    <tableColumn id="7" xr3:uid="{934619A2-0B86-48BD-B16C-47A9041FB738}" name="Emission Rate (lb/bale)2" dataDxfId="71"/>
    <tableColumn id="8" xr3:uid="{1E50ECC3-8A39-46EB-AC7C-0CC6DEA9F15F}" name="lb/hour2" dataDxfId="70">
      <calculatedColumnFormula>+B7*G7</calculatedColumnFormula>
    </tableColumn>
    <tableColumn id="9" xr3:uid="{C89A6DA9-16DB-474D-A583-BDC3361C582B}" name="TPY2" dataDxfId="69">
      <calculatedColumnFormula>+C7*G7/2000</calculatedColumnFormula>
    </tableColumn>
    <tableColumn id="10" xr3:uid="{65AFE715-300B-4074-9A28-E05C3C760DDB}" name="Emission Rate (lb/bale)3" dataDxfId="68"/>
    <tableColumn id="11" xr3:uid="{861DD1E0-12D0-481B-B251-7CCC3215D262}" name="lb/hour3" dataDxfId="67">
      <calculatedColumnFormula>+B7*J7</calculatedColumnFormula>
    </tableColumn>
    <tableColumn id="12" xr3:uid="{964A4631-237A-4F52-8B5C-F6432F8F2D07}" name="TPY3" dataDxfId="66">
      <calculatedColumnFormula>+C7*J7/2000</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033E38-D681-43DC-AA8B-A325C6F02594}" name="Table9" displayName="Table9" ref="A6:L7" totalsRowShown="0" headerRowDxfId="65" dataDxfId="63" headerRowBorderDxfId="64" tableBorderDxfId="62">
  <autoFilter ref="A6:L7" xr:uid="{15151781-667B-4A41-AF4D-F88736A0A743}"/>
  <tableColumns count="12">
    <tableColumn id="1" xr3:uid="{D12597D6-241F-4DCD-A44C-C98002C2ADAC}" name="System" dataDxfId="61"/>
    <tableColumn id="2" xr3:uid="{72C147E7-5E95-46BE-A366-F29A28ED40DF}" name="Hourly Baling Rate (bales/hour)" dataDxfId="60">
      <calculatedColumnFormula>+'Cotton Gin Input Data'!$G$5</calculatedColumnFormula>
    </tableColumn>
    <tableColumn id="3" xr3:uid="{32926064-BFC7-41A5-AEF3-B3E4B46EC36A}" name="Annual Baling Rate (bales/year)" dataDxfId="59">
      <calculatedColumnFormula>+'Cotton Gin Input Data'!$G$6</calculatedColumnFormula>
    </tableColumn>
    <tableColumn id="4" xr3:uid="{328DE430-1ADC-4B3C-A21A-4C098D21509B}" name="Emission Rate (lb/bale)" dataDxfId="58"/>
    <tableColumn id="5" xr3:uid="{677FD53A-8B4B-4B5A-8186-E068ACF79B79}" name="lb/hour" dataDxfId="57">
      <calculatedColumnFormula>IF('Cotton Gin Input Data'!$G$7="YES",((((B7*1000)*0.3)/2000)*0.5),(((B7*1000)*0.3)/2000))</calculatedColumnFormula>
    </tableColumn>
    <tableColumn id="6" xr3:uid="{290CCFB5-C401-4ABB-A2AA-5A0BB42464CC}" name="TPY" dataDxfId="56">
      <calculatedColumnFormula>IF('Cotton Gin Input Data'!$G$7="YES",((((C7*1000)*0.3)/2000)/2000*0.5),((((C7*1000)*0.3)/2000)/2000))</calculatedColumnFormula>
    </tableColumn>
    <tableColumn id="7" xr3:uid="{AD8602D4-BD21-4CF1-8582-F48BD033ECF2}" name="Percentage of PM" dataDxfId="55">
      <calculatedColumnFormula>+'PM10 Calculations'!G23</calculatedColumnFormula>
    </tableColumn>
    <tableColumn id="8" xr3:uid="{FE8B2BC9-870D-4CC9-9AC5-F4B9435DC796}" name="lb/hour2" dataDxfId="54">
      <calculatedColumnFormula>+E7*G7</calculatedColumnFormula>
    </tableColumn>
    <tableColumn id="9" xr3:uid="{5553B166-8520-440F-B4E2-A04DDB726B70}" name="TPY3" dataDxfId="53">
      <calculatedColumnFormula>+F7*G7</calculatedColumnFormula>
    </tableColumn>
    <tableColumn id="10" xr3:uid="{A9E70DED-05B0-4622-B9A5-4919AFCC777E}" name="Percentage of PM4" dataDxfId="52">
      <calculatedColumnFormula>+'PM2.5 Calculations'!G23</calculatedColumnFormula>
    </tableColumn>
    <tableColumn id="11" xr3:uid="{F328157D-568F-4DDA-A71C-B7C5275CB705}" name="lb/hour5" dataDxfId="51">
      <calculatedColumnFormula>+E7*J7</calculatedColumnFormula>
    </tableColumn>
    <tableColumn id="12" xr3:uid="{284B0C79-06AD-4C4E-ADB8-3CC3A6D7036E}" name="TPY6" dataDxfId="50">
      <calculatedColumnFormula>+F7*J7</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F5504B-79C8-4F67-A7C3-A042C3BD0085}" name="Table11" displayName="Table11" ref="A5:F12" totalsRowShown="0" headerRowDxfId="49" dataDxfId="47" headerRowBorderDxfId="48" tableBorderDxfId="46">
  <autoFilter ref="A5:F12" xr:uid="{27DD07F4-41C8-4DBB-8161-BA2D514CA781}"/>
  <tableColumns count="6">
    <tableColumn id="1" xr3:uid="{416075BC-EBC8-4021-93C8-DFE31892A31D}" name="Pollutant" dataDxfId="45"/>
    <tableColumn id="2" xr3:uid="{2BBB566C-5787-4C59-89EC-4C90B66FD324}" name="Emission Factor (lb/MMscf)" dataDxfId="44"/>
    <tableColumn id="3" xr3:uid="{4C0B859A-BDB3-4370-A026-AECDA6C442B3}" name="CF/hr" dataDxfId="43">
      <calculatedColumnFormula>CHOOSE('Cotton Gin Input Data'!$G$8,('Cotton Gin Input Data'!$G$9/1000),('Cotton Gin Input Data'!$G$9/97400),('Cotton Gin Input Data'!$G$9/90500))</calculatedColumnFormula>
    </tableColumn>
    <tableColumn id="4" xr3:uid="{534A8DF6-CA3E-4B82-8D6B-CA0E5F10D5E4}" name="Equivalent Hours per Year" dataDxfId="42">
      <calculatedColumnFormula>'Cotton Gin Input Data'!$G$6/'Cotton Gin Input Data'!$G$5*1.5</calculatedColumnFormula>
    </tableColumn>
    <tableColumn id="5" xr3:uid="{1785D314-B4E5-4504-982C-BAC4C2A95271}" name="Emission Rate (lb/hr)" dataDxfId="41">
      <calculatedColumnFormula>IF('Cotton Gin Input Data'!$G$8=1,(B6/1000000*C6),(B6/1000*C6))</calculatedColumnFormula>
    </tableColumn>
    <tableColumn id="6" xr3:uid="{AF226920-6354-44D9-B04D-B29F244E1584}" name="Emission Rate (ton/yr)" dataDxfId="40">
      <calculatedColumnFormula>(D6*E6/2000)</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F85FB75-CFFF-46F4-8F9D-D03EC7815CD8}" name="Table12" displayName="Table12" ref="A5:G23" totalsRowShown="0" headerRowDxfId="39" tableBorderDxfId="38">
  <autoFilter ref="A5:G23" xr:uid="{6590755F-F8DB-4C34-AD3C-EC2B7B47490A}"/>
  <tableColumns count="7">
    <tableColumn id="1" xr3:uid="{DAB0E3F6-12C7-4F7A-B283-5562EE11F157}" name="Emission Point" dataDxfId="37"/>
    <tableColumn id="2" xr3:uid="{D7BE2FBC-B35C-4915-A87D-975825A50194}" name="Abatement Device Sampled" dataDxfId="36"/>
    <tableColumn id="3" xr3:uid="{9E042B74-8669-488A-A231-27FF16C6D3A4}" name="lb/bale_x000a_(g)" dataDxfId="35"/>
    <tableColumn id="4" xr3:uid="{3701D6EC-E062-4B32-B48B-3F705DB8F576}" name="Control Device Number" dataDxfId="34"/>
    <tableColumn id="5" xr3:uid="{50AAAD38-3A2B-48D2-9831-715773AB802A}" name="Proposed Abatement" dataDxfId="33"/>
    <tableColumn id="6" xr3:uid="{64141241-0FDD-46A8-AB87-D4C5B1176E95}" name="Factor _x000a_(a - f)" dataDxfId="32"/>
    <tableColumn id="7" xr3:uid="{369EA287-268F-4EFB-A3C5-36CE094B9E3C}" name="Emissions_x000a_(lb/bale)" dataDxfId="3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D0833B1-38D4-4EC9-AC1F-F64DFB5753C4}" name="Table13" displayName="Table13" ref="A5:G23" totalsRowShown="0" headerRowDxfId="30" tableBorderDxfId="29">
  <autoFilter ref="A5:G23" xr:uid="{4B67E61D-F2F8-44EA-9FA2-53FC54A081A2}"/>
  <tableColumns count="7">
    <tableColumn id="1" xr3:uid="{CB18519C-C2DA-4225-BE56-47175EDDA426}" name="Emission Point" dataDxfId="28"/>
    <tableColumn id="2" xr3:uid="{898DAC67-93E0-4524-8322-2BF76C0025F9}" name="Abatement Device Sampled" dataDxfId="27"/>
    <tableColumn id="3" xr3:uid="{4876EB09-C33F-4C22-9DD6-65371E6ED0AA}" name="lb/bale_x000a_(g)" dataDxfId="26"/>
    <tableColumn id="4" xr3:uid="{B111D5FE-5436-4C2B-972D-3BD2257B0D0B}" name="Control Device Number" dataDxfId="25"/>
    <tableColumn id="5" xr3:uid="{D2596475-F81B-4912-9142-D432942FA4AB}" name="Proposed Abatement" dataDxfId="24"/>
    <tableColumn id="6" xr3:uid="{F9174A13-FFF1-4A6A-9E0B-5434B5812CC4}" name="Factor _x000a_(a - f)" dataDxfId="23"/>
    <tableColumn id="7" xr3:uid="{97D46301-6959-4E48-AF02-33ED3CFD57F1}" name="Emissions_x000a_(lb/bale)" dataDxfId="2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tton.org/journal/2015-19/3/loader.cfm?csModule=security/getfile&amp;pageid=165793" TargetMode="External"/><Relationship Id="rId13" Type="http://schemas.openxmlformats.org/officeDocument/2006/relationships/hyperlink" Target="http://www.cotton.org/journal/2015-19/3/loader.cfm?csModule=security/getfile&amp;pageid=165848" TargetMode="External"/><Relationship Id="rId3" Type="http://schemas.openxmlformats.org/officeDocument/2006/relationships/hyperlink" Target="http://www.cotton.org/journal/2015-19/3/loader.cfm?csModule=security/getfile&amp;pageid=165734" TargetMode="External"/><Relationship Id="rId7" Type="http://schemas.openxmlformats.org/officeDocument/2006/relationships/hyperlink" Target="http://www.cotton.org/journal/2015-19/3/loader.cfm?csModule=security/getfile&amp;pageid=165781" TargetMode="External"/><Relationship Id="rId12" Type="http://schemas.openxmlformats.org/officeDocument/2006/relationships/hyperlink" Target="http://www.cotton.org/journal/2015-19/3/loader.cfm?csModule=security/getfile&amp;pageid=165826" TargetMode="External"/><Relationship Id="rId17" Type="http://schemas.openxmlformats.org/officeDocument/2006/relationships/printerSettings" Target="../printerSettings/printerSettings1.bin"/><Relationship Id="rId2" Type="http://schemas.openxmlformats.org/officeDocument/2006/relationships/hyperlink" Target="http://www.cotton.org/journal/2015-19/3/loader.cfm?csModule=security/getfile&amp;pageid=165903" TargetMode="External"/><Relationship Id="rId16" Type="http://schemas.openxmlformats.org/officeDocument/2006/relationships/hyperlink" Target="http://www.cotton.org/journal/2015-19/3/loader.cfm?csModule=security/getfile&amp;pageid=165881" TargetMode="External"/><Relationship Id="rId1" Type="http://schemas.openxmlformats.org/officeDocument/2006/relationships/hyperlink" Target="http://www.cotton.org/journal/2015-19/3/loader.cfm?csModule=security/getfile&amp;pageid=165723" TargetMode="External"/><Relationship Id="rId6" Type="http://schemas.openxmlformats.org/officeDocument/2006/relationships/hyperlink" Target="http://www.cotton.org/journal/2015-19/3/loader.cfm?csModule=security/getfile&amp;pageid=165767" TargetMode="External"/><Relationship Id="rId11" Type="http://schemas.openxmlformats.org/officeDocument/2006/relationships/hyperlink" Target="http://www.cotton.org/journal/2015-19/3/loader.cfm?csModule=security/getfile&amp;pageid=165837" TargetMode="External"/><Relationship Id="rId5" Type="http://schemas.openxmlformats.org/officeDocument/2006/relationships/hyperlink" Target="http://www.cotton.org/journal/2015-19/3/loader.cfm?csModule=security/getfile&amp;pageid=165756" TargetMode="External"/><Relationship Id="rId15" Type="http://schemas.openxmlformats.org/officeDocument/2006/relationships/hyperlink" Target="http://www.cotton.org/journal/2015-19/3/loader.cfm?csModule=security/getfile&amp;pageid=165870" TargetMode="External"/><Relationship Id="rId10" Type="http://schemas.openxmlformats.org/officeDocument/2006/relationships/hyperlink" Target="http://www.cotton.org/journal/2015-19/3/loader.cfm?csModule=security/getfile&amp;pageid=165815" TargetMode="External"/><Relationship Id="rId4" Type="http://schemas.openxmlformats.org/officeDocument/2006/relationships/hyperlink" Target="http://www.cotton.org/journal/2015-19/3/loader.cfm?csModule=security/getfile&amp;pageid=165745" TargetMode="External"/><Relationship Id="rId9" Type="http://schemas.openxmlformats.org/officeDocument/2006/relationships/hyperlink" Target="http://www.cotton.org/journal/2015-19/3/loader.cfm?csModule=security/getfile&amp;pageid=165804" TargetMode="External"/><Relationship Id="rId14" Type="http://schemas.openxmlformats.org/officeDocument/2006/relationships/hyperlink" Target="http://www.cotton.org/journal/2015-19/3/loader.cfm?csModule=security/getfile&amp;pageid=16585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texreg.sos.state.tx.us/public/readtac$ext.TacPage?sl=R&amp;app=9&amp;p_dir=&amp;p_rloc=&amp;p_tloc=&amp;p_ploc=&amp;pg=1&amp;p_tac=&amp;ti=30&amp;pt=1&amp;ch=111&amp;rl=171"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80"/>
  <sheetViews>
    <sheetView tabSelected="1" zoomScaleNormal="100" workbookViewId="0">
      <selection sqref="A1:I1"/>
    </sheetView>
  </sheetViews>
  <sheetFormatPr defaultColWidth="0" defaultRowHeight="14.25" customHeight="1" zeroHeight="1" x14ac:dyDescent="0.2"/>
  <cols>
    <col min="1" max="9" width="14.28515625" customWidth="1"/>
    <col min="10" max="15" width="9.5703125" hidden="1" customWidth="1"/>
    <col min="16" max="16384" width="9.5703125" hidden="1"/>
  </cols>
  <sheetData>
    <row r="1" spans="1:15" ht="6.75" customHeight="1" x14ac:dyDescent="0.2">
      <c r="A1" s="128" t="s">
        <v>48</v>
      </c>
      <c r="B1" s="128"/>
      <c r="C1" s="128"/>
      <c r="D1" s="128"/>
      <c r="E1" s="128"/>
      <c r="F1" s="128"/>
      <c r="G1" s="128"/>
      <c r="H1" s="128"/>
      <c r="I1" s="128"/>
      <c r="J1" s="44"/>
      <c r="K1" s="44"/>
      <c r="L1" s="44"/>
      <c r="M1" s="44"/>
      <c r="N1" s="44"/>
      <c r="O1" s="44"/>
    </row>
    <row r="2" spans="1:15" ht="30" customHeight="1" thickBot="1" x14ac:dyDescent="0.25">
      <c r="A2" s="127" t="s">
        <v>102</v>
      </c>
      <c r="B2" s="127"/>
      <c r="C2" s="127"/>
      <c r="D2" s="127"/>
      <c r="E2" s="127"/>
      <c r="F2" s="127"/>
      <c r="G2" s="127"/>
      <c r="H2" s="127"/>
      <c r="I2" s="127"/>
      <c r="J2" s="45"/>
      <c r="K2" s="45"/>
      <c r="L2" s="45"/>
      <c r="M2" s="45"/>
      <c r="N2" s="45"/>
      <c r="O2" s="45"/>
    </row>
    <row r="3" spans="1:15" s="2" customFormat="1" ht="30" customHeight="1" thickBot="1" x14ac:dyDescent="0.25">
      <c r="A3" s="125" t="s">
        <v>159</v>
      </c>
      <c r="B3" s="126"/>
      <c r="C3" s="126"/>
      <c r="D3" s="126"/>
      <c r="E3" s="126"/>
      <c r="F3" s="126"/>
      <c r="G3" s="126"/>
      <c r="H3" s="126"/>
      <c r="I3" s="126"/>
      <c r="J3" s="124"/>
      <c r="K3" s="124"/>
      <c r="L3" s="124"/>
      <c r="M3" s="124"/>
      <c r="N3" s="124"/>
      <c r="O3" s="124"/>
    </row>
    <row r="4" spans="1:15" ht="178.5" customHeight="1" thickBot="1" x14ac:dyDescent="0.25">
      <c r="A4" s="129" t="s">
        <v>141</v>
      </c>
      <c r="B4" s="129"/>
      <c r="C4" s="129"/>
      <c r="D4" s="129"/>
      <c r="E4" s="129"/>
      <c r="F4" s="129"/>
      <c r="G4" s="129"/>
      <c r="H4" s="129"/>
      <c r="I4" s="129"/>
      <c r="J4" s="47"/>
      <c r="K4" s="47"/>
      <c r="L4" s="47"/>
      <c r="M4" s="47"/>
      <c r="N4" s="47"/>
      <c r="O4" s="47"/>
    </row>
    <row r="5" spans="1:15" ht="120" customHeight="1" x14ac:dyDescent="0.2">
      <c r="A5" s="130" t="s">
        <v>158</v>
      </c>
      <c r="B5" s="130"/>
      <c r="C5" s="130"/>
      <c r="D5" s="130"/>
      <c r="E5" s="130"/>
      <c r="F5" s="130"/>
      <c r="G5" s="130"/>
      <c r="H5" s="130"/>
      <c r="I5" s="130"/>
      <c r="J5" s="46"/>
      <c r="K5" s="46"/>
      <c r="L5" s="46"/>
      <c r="M5" s="46"/>
      <c r="N5" s="46"/>
      <c r="O5" s="46"/>
    </row>
    <row r="6" spans="1:15" s="2" customFormat="1" ht="18" customHeight="1" x14ac:dyDescent="0.2">
      <c r="A6" s="131" t="s">
        <v>143</v>
      </c>
      <c r="B6" s="131"/>
      <c r="C6" s="131"/>
      <c r="D6" s="131"/>
      <c r="E6" s="131"/>
      <c r="F6" s="131"/>
      <c r="G6" s="131"/>
      <c r="H6" s="131"/>
      <c r="I6" s="131"/>
      <c r="J6" s="56"/>
      <c r="K6" s="56"/>
      <c r="L6" s="56"/>
      <c r="M6" s="56"/>
      <c r="N6" s="56"/>
      <c r="O6" s="56"/>
    </row>
    <row r="7" spans="1:15" s="2" customFormat="1" ht="18" customHeight="1" x14ac:dyDescent="0.2">
      <c r="A7" s="131" t="s">
        <v>142</v>
      </c>
      <c r="B7" s="131"/>
      <c r="C7" s="131"/>
      <c r="D7" s="131"/>
      <c r="E7" s="131"/>
      <c r="F7" s="131"/>
      <c r="G7" s="131"/>
      <c r="H7" s="131"/>
      <c r="I7" s="131"/>
      <c r="J7" s="56"/>
      <c r="K7" s="56"/>
      <c r="L7" s="56"/>
      <c r="M7" s="56"/>
      <c r="N7" s="56"/>
      <c r="O7" s="56"/>
    </row>
    <row r="8" spans="1:15" s="2" customFormat="1" ht="18" customHeight="1" x14ac:dyDescent="0.2">
      <c r="A8" s="131" t="s">
        <v>144</v>
      </c>
      <c r="B8" s="131"/>
      <c r="C8" s="131"/>
      <c r="D8" s="131"/>
      <c r="E8" s="131"/>
      <c r="F8" s="131"/>
      <c r="G8" s="131"/>
      <c r="H8" s="131"/>
      <c r="I8" s="131"/>
      <c r="J8" s="56"/>
      <c r="K8" s="56"/>
      <c r="L8" s="56"/>
      <c r="M8" s="56"/>
      <c r="N8" s="56"/>
      <c r="O8" s="56"/>
    </row>
    <row r="9" spans="1:15" s="2" customFormat="1" ht="18" customHeight="1" x14ac:dyDescent="0.2">
      <c r="A9" s="131" t="s">
        <v>145</v>
      </c>
      <c r="B9" s="131"/>
      <c r="C9" s="131"/>
      <c r="D9" s="131"/>
      <c r="E9" s="131"/>
      <c r="F9" s="131"/>
      <c r="G9" s="131"/>
      <c r="H9" s="131"/>
      <c r="I9" s="131"/>
      <c r="J9" s="56"/>
      <c r="K9" s="56"/>
      <c r="L9" s="56"/>
      <c r="M9" s="56"/>
      <c r="N9" s="56"/>
      <c r="O9" s="56"/>
    </row>
    <row r="10" spans="1:15" s="2" customFormat="1" ht="18" customHeight="1" x14ac:dyDescent="0.2">
      <c r="A10" s="131" t="s">
        <v>146</v>
      </c>
      <c r="B10" s="131"/>
      <c r="C10" s="131"/>
      <c r="D10" s="131"/>
      <c r="E10" s="131"/>
      <c r="F10" s="131"/>
      <c r="G10" s="131"/>
      <c r="H10" s="131"/>
      <c r="I10" s="131"/>
      <c r="J10" s="56"/>
      <c r="K10" s="56"/>
      <c r="L10" s="56"/>
      <c r="M10" s="56"/>
      <c r="N10" s="56"/>
      <c r="O10" s="56"/>
    </row>
    <row r="11" spans="1:15" s="2" customFormat="1" ht="18" customHeight="1" x14ac:dyDescent="0.2">
      <c r="A11" s="131" t="s">
        <v>147</v>
      </c>
      <c r="B11" s="131"/>
      <c r="C11" s="131"/>
      <c r="D11" s="131"/>
      <c r="E11" s="131"/>
      <c r="F11" s="131"/>
      <c r="G11" s="131"/>
      <c r="H11" s="131"/>
      <c r="I11" s="131"/>
      <c r="J11" s="56"/>
      <c r="K11" s="56"/>
      <c r="L11" s="56"/>
      <c r="M11" s="56"/>
      <c r="N11" s="56"/>
      <c r="O11" s="56"/>
    </row>
    <row r="12" spans="1:15" s="2" customFormat="1" ht="18" customHeight="1" x14ac:dyDescent="0.2">
      <c r="A12" s="131" t="s">
        <v>148</v>
      </c>
      <c r="B12" s="131"/>
      <c r="C12" s="131"/>
      <c r="D12" s="131"/>
      <c r="E12" s="131"/>
      <c r="F12" s="131"/>
      <c r="G12" s="131"/>
      <c r="H12" s="131"/>
      <c r="I12" s="131"/>
      <c r="J12" s="56"/>
      <c r="K12" s="56"/>
      <c r="L12" s="56"/>
      <c r="M12" s="56"/>
      <c r="N12" s="56"/>
      <c r="O12" s="56"/>
    </row>
    <row r="13" spans="1:15" s="2" customFormat="1" ht="18" customHeight="1" x14ac:dyDescent="0.2">
      <c r="A13" s="131" t="s">
        <v>149</v>
      </c>
      <c r="B13" s="131"/>
      <c r="C13" s="131"/>
      <c r="D13" s="131"/>
      <c r="E13" s="131"/>
      <c r="F13" s="131"/>
      <c r="G13" s="131"/>
      <c r="H13" s="131"/>
      <c r="I13" s="131"/>
      <c r="J13" s="56"/>
      <c r="K13" s="56"/>
      <c r="L13" s="56"/>
      <c r="M13" s="56"/>
      <c r="N13" s="56"/>
      <c r="O13" s="56"/>
    </row>
    <row r="14" spans="1:15" s="2" customFormat="1" ht="18" customHeight="1" x14ac:dyDescent="0.2">
      <c r="A14" s="131" t="s">
        <v>150</v>
      </c>
      <c r="B14" s="131"/>
      <c r="C14" s="131"/>
      <c r="D14" s="131"/>
      <c r="E14" s="131"/>
      <c r="F14" s="131"/>
      <c r="G14" s="131"/>
      <c r="H14" s="131"/>
      <c r="I14" s="131"/>
      <c r="J14" s="56"/>
      <c r="K14" s="56"/>
      <c r="L14" s="56"/>
      <c r="M14" s="56"/>
      <c r="N14" s="56"/>
      <c r="O14" s="56"/>
    </row>
    <row r="15" spans="1:15" s="2" customFormat="1" ht="18" customHeight="1" x14ac:dyDescent="0.2">
      <c r="A15" s="131" t="s">
        <v>151</v>
      </c>
      <c r="B15" s="131"/>
      <c r="C15" s="131"/>
      <c r="D15" s="131"/>
      <c r="E15" s="131"/>
      <c r="F15" s="131"/>
      <c r="G15" s="131"/>
      <c r="H15" s="131"/>
      <c r="I15" s="131"/>
      <c r="J15" s="56"/>
      <c r="K15" s="56"/>
      <c r="L15" s="56"/>
      <c r="M15" s="56"/>
      <c r="N15" s="56"/>
      <c r="O15" s="56"/>
    </row>
    <row r="16" spans="1:15" s="2" customFormat="1" ht="18" customHeight="1" x14ac:dyDescent="0.2">
      <c r="A16" s="132" t="s">
        <v>152</v>
      </c>
      <c r="B16" s="132"/>
      <c r="C16" s="132"/>
      <c r="D16" s="132"/>
      <c r="E16" s="132"/>
      <c r="F16" s="132"/>
      <c r="G16" s="132"/>
      <c r="H16" s="132"/>
      <c r="I16" s="132"/>
      <c r="J16" s="56"/>
      <c r="K16" s="56"/>
      <c r="L16" s="56"/>
      <c r="M16" s="56"/>
      <c r="N16" s="56"/>
      <c r="O16" s="56"/>
    </row>
    <row r="17" spans="1:15" s="2" customFormat="1" ht="18" customHeight="1" x14ac:dyDescent="0.2">
      <c r="A17" s="131" t="s">
        <v>153</v>
      </c>
      <c r="B17" s="131"/>
      <c r="C17" s="131"/>
      <c r="D17" s="131"/>
      <c r="E17" s="131"/>
      <c r="F17" s="131"/>
      <c r="G17" s="131"/>
      <c r="H17" s="131"/>
      <c r="I17" s="131"/>
      <c r="J17" s="56"/>
      <c r="K17" s="56"/>
      <c r="L17" s="56"/>
      <c r="M17" s="56"/>
      <c r="N17" s="56"/>
      <c r="O17" s="56"/>
    </row>
    <row r="18" spans="1:15" s="2" customFormat="1" ht="18" customHeight="1" x14ac:dyDescent="0.2">
      <c r="A18" s="131" t="s">
        <v>154</v>
      </c>
      <c r="B18" s="131"/>
      <c r="C18" s="131"/>
      <c r="D18" s="131"/>
      <c r="E18" s="131"/>
      <c r="F18" s="131"/>
      <c r="G18" s="131"/>
      <c r="H18" s="131"/>
      <c r="I18" s="131"/>
      <c r="J18" s="56"/>
      <c r="K18" s="56"/>
      <c r="L18" s="56"/>
      <c r="M18" s="56"/>
      <c r="N18" s="56"/>
      <c r="O18" s="56"/>
    </row>
    <row r="19" spans="1:15" s="2" customFormat="1" ht="18" customHeight="1" x14ac:dyDescent="0.2">
      <c r="A19" s="131" t="s">
        <v>155</v>
      </c>
      <c r="B19" s="131"/>
      <c r="C19" s="131"/>
      <c r="D19" s="131"/>
      <c r="E19" s="131"/>
      <c r="F19" s="131"/>
      <c r="G19" s="131"/>
      <c r="H19" s="131"/>
      <c r="I19" s="131"/>
      <c r="J19" s="56"/>
      <c r="K19" s="56"/>
      <c r="L19" s="56"/>
      <c r="M19" s="56"/>
      <c r="N19" s="56"/>
      <c r="O19" s="56"/>
    </row>
    <row r="20" spans="1:15" s="2" customFormat="1" ht="18" customHeight="1" x14ac:dyDescent="0.2">
      <c r="A20" s="131" t="s">
        <v>156</v>
      </c>
      <c r="B20" s="131"/>
      <c r="C20" s="131"/>
      <c r="D20" s="131"/>
      <c r="E20" s="131"/>
      <c r="F20" s="131"/>
      <c r="G20" s="131"/>
      <c r="H20" s="131"/>
      <c r="I20" s="131"/>
      <c r="J20" s="56"/>
      <c r="K20" s="56"/>
      <c r="L20" s="56"/>
      <c r="M20" s="56"/>
      <c r="N20" s="56"/>
      <c r="O20" s="56"/>
    </row>
    <row r="21" spans="1:15" s="2" customFormat="1" ht="18" customHeight="1" thickBot="1" x14ac:dyDescent="0.25">
      <c r="A21" s="133" t="s">
        <v>157</v>
      </c>
      <c r="B21" s="133"/>
      <c r="C21" s="133"/>
      <c r="D21" s="133"/>
      <c r="E21" s="133"/>
      <c r="F21" s="133"/>
      <c r="G21" s="133"/>
      <c r="H21" s="133"/>
      <c r="I21" s="133"/>
      <c r="J21" s="56"/>
      <c r="K21" s="56"/>
      <c r="L21" s="56"/>
      <c r="M21" s="56"/>
      <c r="N21" s="56"/>
      <c r="O21" s="56"/>
    </row>
    <row r="22" spans="1:15" s="2" customFormat="1" ht="58.5" customHeight="1" x14ac:dyDescent="0.2">
      <c r="A22" s="130" t="s">
        <v>132</v>
      </c>
      <c r="B22" s="130"/>
      <c r="C22" s="130"/>
      <c r="D22" s="130"/>
      <c r="E22" s="130"/>
      <c r="F22" s="130"/>
      <c r="G22" s="130"/>
      <c r="H22" s="130"/>
      <c r="I22" s="130"/>
      <c r="J22" s="56"/>
      <c r="K22" s="56"/>
      <c r="L22" s="56"/>
      <c r="M22" s="56"/>
      <c r="N22" s="56"/>
      <c r="O22" s="56"/>
    </row>
    <row r="23" spans="1:15" ht="11.25" customHeight="1" x14ac:dyDescent="0.2">
      <c r="A23" s="55" t="s">
        <v>108</v>
      </c>
      <c r="C23" s="2"/>
      <c r="D23" s="2"/>
      <c r="E23" s="2"/>
      <c r="F23" s="2"/>
      <c r="G23" s="2"/>
      <c r="H23" s="2"/>
      <c r="I23" s="2"/>
      <c r="J23" s="2"/>
    </row>
    <row r="24" spans="1:15" ht="11.25" hidden="1" customHeight="1" x14ac:dyDescent="0.2">
      <c r="A24" s="3"/>
      <c r="C24" s="2"/>
      <c r="D24" s="2"/>
      <c r="E24" s="2"/>
      <c r="F24" s="2"/>
      <c r="G24" s="2"/>
      <c r="H24" s="2"/>
      <c r="I24" s="2"/>
      <c r="J24" s="2"/>
    </row>
    <row r="25" spans="1:15" ht="11.25" hidden="1" customHeight="1" x14ac:dyDescent="0.2">
      <c r="A25" s="2"/>
      <c r="B25" s="2"/>
      <c r="C25" s="2"/>
      <c r="D25" s="2"/>
      <c r="E25" s="2"/>
      <c r="F25" s="2"/>
      <c r="G25" s="2"/>
      <c r="H25" s="2"/>
      <c r="I25" s="2"/>
      <c r="J25" s="2"/>
    </row>
    <row r="26" spans="1:15" ht="11.25" hidden="1" customHeight="1" x14ac:dyDescent="0.2">
      <c r="A26" s="3"/>
      <c r="C26" s="2"/>
      <c r="D26" s="2"/>
      <c r="E26" s="2"/>
      <c r="F26" s="2"/>
      <c r="G26" s="2"/>
      <c r="H26" s="2"/>
      <c r="I26" s="2"/>
      <c r="J26" s="2"/>
    </row>
    <row r="27" spans="1:15" ht="11.25" hidden="1" customHeight="1" x14ac:dyDescent="0.2">
      <c r="A27" s="3"/>
      <c r="C27" s="2"/>
      <c r="D27" s="2"/>
      <c r="E27" s="2"/>
      <c r="F27" s="2"/>
      <c r="G27" s="2"/>
      <c r="H27" s="2"/>
      <c r="I27" s="2"/>
      <c r="J27" s="2"/>
    </row>
    <row r="28" spans="1:15" ht="11.25" hidden="1" customHeight="1" x14ac:dyDescent="0.2">
      <c r="A28" s="3"/>
      <c r="C28" s="2"/>
      <c r="D28" s="2"/>
      <c r="E28" s="2"/>
      <c r="F28" s="2"/>
      <c r="G28" s="2"/>
      <c r="H28" s="2"/>
      <c r="I28" s="2"/>
      <c r="J28" s="2"/>
    </row>
    <row r="29" spans="1:15" ht="11.25" hidden="1" customHeight="1" x14ac:dyDescent="0.2">
      <c r="A29" s="3"/>
      <c r="C29" s="2"/>
      <c r="D29" s="2"/>
      <c r="E29" s="2"/>
      <c r="F29" s="2"/>
      <c r="G29" s="2"/>
      <c r="H29" s="2"/>
      <c r="I29" s="2"/>
      <c r="J29" s="2"/>
    </row>
    <row r="30" spans="1:15" ht="11.25" hidden="1" customHeight="1" x14ac:dyDescent="0.2">
      <c r="A30" s="2"/>
      <c r="B30" s="2"/>
      <c r="C30" s="2"/>
      <c r="D30" s="2"/>
      <c r="E30" s="2"/>
      <c r="F30" s="2"/>
      <c r="G30" s="2"/>
      <c r="H30" s="2"/>
      <c r="I30" s="2"/>
      <c r="J30" s="2"/>
    </row>
    <row r="31" spans="1:15" ht="11.25" hidden="1" customHeight="1" x14ac:dyDescent="0.2">
      <c r="A31" s="3"/>
      <c r="C31" s="2"/>
      <c r="D31" s="2"/>
      <c r="E31" s="2"/>
      <c r="F31" s="2"/>
      <c r="G31" s="2"/>
      <c r="H31" s="2"/>
      <c r="I31" s="2"/>
      <c r="J31" s="2"/>
    </row>
    <row r="32" spans="1:15" ht="11.25" hidden="1" customHeight="1" x14ac:dyDescent="0.2"/>
    <row r="33" ht="11.25" hidden="1" customHeight="1" x14ac:dyDescent="0.2"/>
    <row r="34" ht="11.25" hidden="1" customHeight="1" x14ac:dyDescent="0.2"/>
    <row r="35" ht="11.25" hidden="1" customHeight="1" x14ac:dyDescent="0.2"/>
    <row r="36" ht="11.25" hidden="1" customHeight="1" x14ac:dyDescent="0.2"/>
    <row r="37" ht="11.25" hidden="1" customHeight="1" x14ac:dyDescent="0.2"/>
    <row r="38" ht="11.25" hidden="1" customHeight="1" x14ac:dyDescent="0.2"/>
    <row r="39" ht="11.25" hidden="1" customHeight="1" x14ac:dyDescent="0.2"/>
    <row r="40" ht="11.25" hidden="1" customHeight="1" x14ac:dyDescent="0.2"/>
    <row r="41" ht="11.25" hidden="1" customHeight="1" x14ac:dyDescent="0.2"/>
    <row r="42" ht="11.25" hidden="1" customHeight="1" x14ac:dyDescent="0.2"/>
    <row r="43" ht="11.25" hidden="1" customHeight="1" x14ac:dyDescent="0.2"/>
    <row r="44" ht="11.25" hidden="1" customHeight="1" x14ac:dyDescent="0.2"/>
    <row r="45" ht="11.25" hidden="1" customHeight="1" x14ac:dyDescent="0.2"/>
    <row r="46" ht="11.25" hidden="1" customHeight="1" x14ac:dyDescent="0.2"/>
    <row r="47" ht="11.25" hidden="1" customHeight="1" x14ac:dyDescent="0.2"/>
    <row r="48" ht="11.25" hidden="1" customHeight="1" x14ac:dyDescent="0.2"/>
    <row r="49" ht="11.25" hidden="1" customHeight="1" x14ac:dyDescent="0.2"/>
    <row r="50" ht="11.25" hidden="1" customHeight="1" x14ac:dyDescent="0.2"/>
    <row r="51" ht="11.25" hidden="1" customHeight="1" x14ac:dyDescent="0.2"/>
    <row r="52" ht="11.25" hidden="1" customHeight="1" x14ac:dyDescent="0.2"/>
    <row r="53" ht="11.25" hidden="1" customHeight="1" x14ac:dyDescent="0.2"/>
    <row r="54" ht="11.25" hidden="1" customHeight="1" x14ac:dyDescent="0.2"/>
    <row r="55" ht="11.25" hidden="1" customHeight="1" x14ac:dyDescent="0.2"/>
    <row r="56" ht="11.25" hidden="1" customHeight="1" x14ac:dyDescent="0.2"/>
    <row r="57" ht="11.25" hidden="1" customHeight="1" x14ac:dyDescent="0.2"/>
    <row r="58" ht="11.25" hidden="1" customHeight="1" x14ac:dyDescent="0.2"/>
    <row r="59" ht="11.25" hidden="1" customHeight="1" x14ac:dyDescent="0.2"/>
    <row r="60" ht="11.25" hidden="1" customHeight="1" x14ac:dyDescent="0.2"/>
    <row r="61" ht="11.25" hidden="1" customHeight="1" x14ac:dyDescent="0.2"/>
    <row r="62" ht="11.25" hidden="1" customHeight="1" x14ac:dyDescent="0.2"/>
    <row r="63" ht="11.25" hidden="1" customHeight="1" x14ac:dyDescent="0.2"/>
    <row r="64" ht="11.25" hidden="1" customHeight="1" x14ac:dyDescent="0.2"/>
    <row r="65" ht="11.25" hidden="1" customHeight="1" x14ac:dyDescent="0.2"/>
    <row r="66" ht="11.25" hidden="1" customHeight="1" x14ac:dyDescent="0.2"/>
    <row r="67" ht="11.25" hidden="1" customHeight="1" x14ac:dyDescent="0.2"/>
    <row r="68" ht="11.25" hidden="1" customHeight="1" x14ac:dyDescent="0.2"/>
    <row r="69" ht="11.25" hidden="1" customHeight="1" x14ac:dyDescent="0.2"/>
    <row r="70" ht="11.25" hidden="1" customHeight="1" x14ac:dyDescent="0.2"/>
    <row r="71" ht="11.25" hidden="1" customHeight="1" x14ac:dyDescent="0.2"/>
    <row r="72" ht="11.25" hidden="1" customHeight="1" x14ac:dyDescent="0.2"/>
    <row r="73" ht="11.25" hidden="1" customHeight="1" x14ac:dyDescent="0.2"/>
    <row r="74" ht="11.25" hidden="1" customHeight="1" x14ac:dyDescent="0.2"/>
    <row r="75" ht="11.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sheetData>
  <sheetProtection algorithmName="SHA-512" hashValue="ukleIAlzQN2NQHEFq/VbPipcud9poiHhZnhzIJCfLt/d4GTWdFPtocOBpuga47LflbrLghvWerGOqZNHdGbJdg==" saltValue="zeLtNOr2V3C0IZNRktVlIQ==" spinCount="100000" sheet="1" objects="1" scenarios="1"/>
  <mergeCells count="22">
    <mergeCell ref="A21:I21"/>
    <mergeCell ref="A22:I22"/>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3:I3"/>
    <mergeCell ref="A2:I2"/>
    <mergeCell ref="A1:I1"/>
    <mergeCell ref="A4:I4"/>
    <mergeCell ref="A5:I5"/>
  </mergeCells>
  <hyperlinks>
    <hyperlink ref="A7" r:id="rId1" xr:uid="{C0E54A5D-F294-4F88-A5F9-6C85D1861F69}"/>
    <hyperlink ref="A6" r:id="rId2" xr:uid="{E9ED59F2-67D7-407C-A3D1-E285CEE31506}"/>
    <hyperlink ref="A8" r:id="rId3" xr:uid="{88E17BE0-433B-40E6-BF41-2A5CDAE55F22}"/>
    <hyperlink ref="A9" r:id="rId4" xr:uid="{95A5F956-0DA3-4721-923D-09B8EF893D17}"/>
    <hyperlink ref="A10" r:id="rId5" xr:uid="{6E6A9A84-F69A-4F66-9A1C-2FD783E4892C}"/>
    <hyperlink ref="A11" r:id="rId6" xr:uid="{6BA5A303-B22A-4B4A-BEFF-0AD157F3451B}"/>
    <hyperlink ref="A12" r:id="rId7" xr:uid="{F3F1899D-12A7-4EE0-98D8-CA0D248B7E0E}"/>
    <hyperlink ref="A13" r:id="rId8" xr:uid="{22A9D748-7F49-4600-B7A2-DFD7188F4FA1}"/>
    <hyperlink ref="A14" r:id="rId9" xr:uid="{F844759F-F8DD-4624-A4ED-81A855FB8643}"/>
    <hyperlink ref="A15" r:id="rId10" xr:uid="{4F88FAD9-2489-481B-ACF5-490F88F0289B}"/>
    <hyperlink ref="A17" r:id="rId11" xr:uid="{DA181742-06FD-447D-849D-AC9294D9CCF8}"/>
    <hyperlink ref="A16" r:id="rId12" xr:uid="{B5A12C8F-6C44-4F43-A7ED-B2FEBA65C546}"/>
    <hyperlink ref="A18" r:id="rId13" xr:uid="{84A431AB-FE8E-4B2D-885D-2BC2AAC01171}"/>
    <hyperlink ref="A19" r:id="rId14" xr:uid="{F5B02FF6-3E6A-4C85-A6D0-F1F6F9E75551}"/>
    <hyperlink ref="A20" r:id="rId15" xr:uid="{6C86BFAC-73D0-4A1D-807C-373316B419A9}"/>
    <hyperlink ref="A21" r:id="rId16" xr:uid="{04D1D8AD-115E-44F8-B73C-21EF926193B2}"/>
  </hyperlinks>
  <pageMargins left="0.7" right="0.7" top="0.75" bottom="0.75" header="0.3" footer="0.3"/>
  <pageSetup scale="91"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G28"/>
  <sheetViews>
    <sheetView workbookViewId="0">
      <selection sqref="A1:G1"/>
    </sheetView>
  </sheetViews>
  <sheetFormatPr defaultColWidth="0" defaultRowHeight="12.75" zeroHeight="1" x14ac:dyDescent="0.2"/>
  <cols>
    <col min="1" max="1" width="25.28515625" style="2" customWidth="1"/>
    <col min="2" max="2" width="20.5703125" style="2" customWidth="1"/>
    <col min="3" max="3" width="10.28515625" style="2" customWidth="1"/>
    <col min="4" max="4" width="19.42578125" style="2" customWidth="1"/>
    <col min="5" max="5" width="18.140625" style="2" customWidth="1"/>
    <col min="6" max="7" width="14.7109375" style="2" customWidth="1"/>
    <col min="8" max="16384" width="9.140625" style="2" hidden="1"/>
  </cols>
  <sheetData>
    <row r="1" spans="1:7" s="7" customFormat="1" ht="6.75" customHeight="1" x14ac:dyDescent="0.2">
      <c r="A1" s="128" t="s">
        <v>70</v>
      </c>
      <c r="B1" s="128"/>
      <c r="C1" s="128"/>
      <c r="D1" s="128"/>
      <c r="E1" s="128"/>
      <c r="F1" s="128"/>
      <c r="G1" s="128"/>
    </row>
    <row r="2" spans="1:7" s="7" customFormat="1" ht="30" customHeight="1" x14ac:dyDescent="0.2">
      <c r="A2" s="127" t="s">
        <v>51</v>
      </c>
      <c r="B2" s="127"/>
      <c r="C2" s="127"/>
      <c r="D2" s="127"/>
      <c r="E2" s="127"/>
      <c r="F2" s="127"/>
      <c r="G2" s="127"/>
    </row>
    <row r="3" spans="1:7" s="7" customFormat="1" ht="69.75" customHeight="1" thickBot="1" x14ac:dyDescent="0.25">
      <c r="A3" s="167" t="s">
        <v>104</v>
      </c>
      <c r="B3" s="167"/>
      <c r="C3" s="167"/>
      <c r="D3" s="167"/>
      <c r="E3" s="167"/>
      <c r="F3" s="167"/>
      <c r="G3" s="167"/>
    </row>
    <row r="4" spans="1:7" s="7" customFormat="1" ht="15.75" thickTop="1" x14ac:dyDescent="0.25">
      <c r="A4" s="168" t="s">
        <v>52</v>
      </c>
      <c r="B4" s="168"/>
      <c r="C4" s="168"/>
      <c r="D4" s="168"/>
      <c r="E4" s="168"/>
      <c r="F4" s="168"/>
      <c r="G4" s="169"/>
    </row>
    <row r="5" spans="1:7" s="7" customFormat="1" ht="30" x14ac:dyDescent="0.2">
      <c r="A5" s="88" t="s">
        <v>0</v>
      </c>
      <c r="B5" s="12" t="s">
        <v>37</v>
      </c>
      <c r="C5" s="12" t="s">
        <v>38</v>
      </c>
      <c r="D5" s="12" t="s">
        <v>39</v>
      </c>
      <c r="E5" s="12" t="s">
        <v>40</v>
      </c>
      <c r="F5" s="12" t="s">
        <v>41</v>
      </c>
      <c r="G5" s="12" t="s">
        <v>123</v>
      </c>
    </row>
    <row r="6" spans="1:7" s="7" customFormat="1" ht="14.25" x14ac:dyDescent="0.2">
      <c r="A6" s="109" t="str">
        <f>'Cotton Gin Input Data'!$A$12</f>
        <v>1st dryer cleaner</v>
      </c>
      <c r="B6" s="109" t="s">
        <v>2</v>
      </c>
      <c r="C6" s="62">
        <v>0.01</v>
      </c>
      <c r="D6" s="13">
        <f>+'Cotton Gin Input Data'!D12</f>
        <v>1</v>
      </c>
      <c r="E6" s="14" t="str">
        <f>IF(D6&lt;1,"No Control",CHOOSE(D6,"Cyclones","Small Mesh","Series Cyclone","Plenum","Drum Filter","Flutter Filter","No Point"))</f>
        <v>Cyclones</v>
      </c>
      <c r="F6" s="15">
        <f>IF(D6=0,10,CHOOSE(D6,1,5,0.85,0.685,0.5,5,0))</f>
        <v>1</v>
      </c>
      <c r="G6" s="62">
        <f>C6*F6</f>
        <v>0.01</v>
      </c>
    </row>
    <row r="7" spans="1:7" s="7" customFormat="1" ht="14.25" x14ac:dyDescent="0.2">
      <c r="A7" s="109" t="str">
        <f>'Cotton Gin Input Data'!$A$13</f>
        <v>2nd dryer cleaner</v>
      </c>
      <c r="B7" s="109" t="s">
        <v>2</v>
      </c>
      <c r="C7" s="62">
        <v>3.0999999999999999E-3</v>
      </c>
      <c r="D7" s="13">
        <f>+'Cotton Gin Input Data'!D13</f>
        <v>1</v>
      </c>
      <c r="E7" s="14" t="str">
        <f>IF(D7&lt;1,"No Control",CHOOSE(D7,"Cyclones","Small Mesh","Series Cyclone","Plenum","Drum Filter","Flutter Filter","No Point"))</f>
        <v>Cyclones</v>
      </c>
      <c r="F7" s="15">
        <f>IF(D7=0,10,CHOOSE(D7,1,5,0.85,0.8882,0.5,5,0))</f>
        <v>1</v>
      </c>
      <c r="G7" s="62">
        <f>C7*F7</f>
        <v>3.0999999999999999E-3</v>
      </c>
    </row>
    <row r="8" spans="1:7" s="7" customFormat="1" ht="14.25" x14ac:dyDescent="0.2">
      <c r="A8" s="109" t="str">
        <f>'Cotton Gin Input Data'!$A$14</f>
        <v>3rd dryer cleaner</v>
      </c>
      <c r="B8" s="109" t="s">
        <v>2</v>
      </c>
      <c r="C8" s="62">
        <v>2E-3</v>
      </c>
      <c r="D8" s="13">
        <f>+'Cotton Gin Input Data'!D14</f>
        <v>7</v>
      </c>
      <c r="E8" s="14" t="str">
        <f>IF(D8&lt;1,"No Control",CHOOSE(D8,"Cyclones","Small Mesh","Series Cyclone","Plenum","Drum Filter","Flutter Filter","No Point"))</f>
        <v>No Point</v>
      </c>
      <c r="F8" s="15">
        <f>IF(D8=0,10,CHOOSE(D8,1,5,0.85,0.583,0.5,5,0))</f>
        <v>0</v>
      </c>
      <c r="G8" s="62">
        <f>C8*F8</f>
        <v>0</v>
      </c>
    </row>
    <row r="9" spans="1:7" s="7" customFormat="1" ht="30" x14ac:dyDescent="0.2">
      <c r="A9" s="91" t="s">
        <v>31</v>
      </c>
      <c r="B9" s="100" t="s">
        <v>31</v>
      </c>
      <c r="C9" s="100" t="s">
        <v>31</v>
      </c>
      <c r="D9" s="100" t="s">
        <v>31</v>
      </c>
      <c r="E9" s="100" t="s">
        <v>31</v>
      </c>
      <c r="F9" s="100" t="s">
        <v>31</v>
      </c>
      <c r="G9" s="99">
        <f>SUM(G6:G8)</f>
        <v>1.3100000000000001E-2</v>
      </c>
    </row>
    <row r="10" spans="1:7" s="7" customFormat="1" ht="14.25" x14ac:dyDescent="0.2">
      <c r="A10" s="109" t="str">
        <f>'Cotton Gin Input Data'!$A$16</f>
        <v>Unloading fan</v>
      </c>
      <c r="B10" s="109" t="s">
        <v>2</v>
      </c>
      <c r="C10" s="62">
        <v>1.2999999999999999E-2</v>
      </c>
      <c r="D10" s="13">
        <f>+'Cotton Gin Input Data'!D16</f>
        <v>1</v>
      </c>
      <c r="E10" s="14" t="str">
        <f>IF(D10&lt;1,"No Control",CHOOSE(D10,"Cyclones","Small Mesh","Series Cyclone","Plenum","Drum Filter","Flutter Filter","No Point"))</f>
        <v>Cyclones</v>
      </c>
      <c r="F10" s="15">
        <f>IF(D10=0,10,CHOOSE(D10,1,5,0.85,0.625,0.5,5,0))</f>
        <v>1</v>
      </c>
      <c r="G10" s="62">
        <f>C10*F10</f>
        <v>1.2999999999999999E-2</v>
      </c>
    </row>
    <row r="11" spans="1:7" s="7" customFormat="1" ht="14.25" x14ac:dyDescent="0.2">
      <c r="A11" s="109" t="str">
        <f>'Cotton Gin Input Data'!$A$17</f>
        <v>Overflow</v>
      </c>
      <c r="B11" s="109" t="s">
        <v>2</v>
      </c>
      <c r="C11" s="62">
        <v>1.1000000000000001E-3</v>
      </c>
      <c r="D11" s="13">
        <f>+'Cotton Gin Input Data'!D17</f>
        <v>7</v>
      </c>
      <c r="E11" s="14" t="str">
        <f>IF(D11&lt;1,"No Control",CHOOSE(D11,"Cyclones","Small Mesh","Series Cyclone","Plenum","Drum Filter","Flutter Filter","No Point"))</f>
        <v>No Point</v>
      </c>
      <c r="F11" s="15">
        <f>IF(D11=0,10,CHOOSE(D11,1,5,0.85,0.231,0.5,5,0))</f>
        <v>0</v>
      </c>
      <c r="G11" s="62">
        <f>C11*F11</f>
        <v>0</v>
      </c>
    </row>
    <row r="12" spans="1:7" s="7" customFormat="1" ht="14.25" x14ac:dyDescent="0.2">
      <c r="A12" s="109" t="str">
        <f>'Cotton Gin Input Data'!$A$18</f>
        <v>Master Trash</v>
      </c>
      <c r="B12" s="109" t="s">
        <v>2</v>
      </c>
      <c r="C12" s="62">
        <v>7.6E-3</v>
      </c>
      <c r="D12" s="13">
        <f>+'Cotton Gin Input Data'!D18</f>
        <v>1</v>
      </c>
      <c r="E12" s="14" t="str">
        <f>IF(D12&lt;1,"No Control",CHOOSE(D12,"Cyclones","Small Mesh","Series Cyclone","Plenum","Drum Filter","Flutter Filter","No Point"))</f>
        <v>Cyclones</v>
      </c>
      <c r="F12" s="15">
        <f>IF(D12=0,10,CHOOSE(D12,1,5,0.85,0.5536,0.5,5,0))</f>
        <v>1</v>
      </c>
      <c r="G12" s="62">
        <f>C12*F12</f>
        <v>7.6E-3</v>
      </c>
    </row>
    <row r="13" spans="1:7" s="7" customFormat="1" ht="14.25" x14ac:dyDescent="0.2">
      <c r="A13" s="109" t="str">
        <f>'Cotton Gin Input Data'!$A$19</f>
        <v>Cyclone Robber</v>
      </c>
      <c r="B13" s="109" t="s">
        <v>2</v>
      </c>
      <c r="C13" s="62">
        <v>8.9999999999999998E-4</v>
      </c>
      <c r="D13" s="13">
        <f>+'Cotton Gin Input Data'!D19</f>
        <v>1</v>
      </c>
      <c r="E13" s="14" t="str">
        <f>IF(D13&lt;1,"No Control",CHOOSE(D13,"Cyclones","Small Mesh","Series Cyclone","Plenum","Drum Filter","Flutter Filter","No Point"))</f>
        <v>Cyclones</v>
      </c>
      <c r="F13" s="15">
        <f>IF(D13=0,10,CHOOSE(D13,1,5,0.85,0.5536,0.5,5,0))</f>
        <v>1</v>
      </c>
      <c r="G13" s="62">
        <f>C13*F13</f>
        <v>8.9999999999999998E-4</v>
      </c>
    </row>
    <row r="14" spans="1:7" s="7" customFormat="1" ht="30" x14ac:dyDescent="0.2">
      <c r="A14" s="91" t="s">
        <v>32</v>
      </c>
      <c r="B14" s="100" t="s">
        <v>32</v>
      </c>
      <c r="C14" s="100" t="s">
        <v>32</v>
      </c>
      <c r="D14" s="100" t="s">
        <v>32</v>
      </c>
      <c r="E14" s="100" t="s">
        <v>32</v>
      </c>
      <c r="F14" s="100" t="s">
        <v>32</v>
      </c>
      <c r="G14" s="99">
        <f>SUM(G10:G13)</f>
        <v>2.1500000000000002E-2</v>
      </c>
    </row>
    <row r="15" spans="1:7" s="7" customFormat="1" ht="14.25" x14ac:dyDescent="0.2">
      <c r="A15" s="109" t="str">
        <f>'Cotton Gin Input Data'!$A$21</f>
        <v>1st lint cleaner</v>
      </c>
      <c r="B15" s="109" t="s">
        <v>2</v>
      </c>
      <c r="C15" s="62">
        <v>3.6800000000000001E-3</v>
      </c>
      <c r="D15" s="13">
        <f>+'Cotton Gin Input Data'!D21</f>
        <v>3</v>
      </c>
      <c r="E15" s="14" t="str">
        <f t="shared" ref="E15:E21" si="0">IF(D15&lt;1,"No Control",CHOOSE(D15,"Cyclones","Small Mesh","Series Cyclone","Plenum","Drum Filter","Flutter Filter","No Point"))</f>
        <v>Series Cyclone</v>
      </c>
      <c r="F15" s="15">
        <f t="shared" ref="F15:F21" si="1">IF(D15=0,10,CHOOSE(D15,1,5,0.85,0.629,0.5,5,0))</f>
        <v>0.85</v>
      </c>
      <c r="G15" s="70">
        <f t="shared" ref="G15:G21" si="2">C15*F15</f>
        <v>3.1280000000000001E-3</v>
      </c>
    </row>
    <row r="16" spans="1:7" s="7" customFormat="1" ht="14.25" x14ac:dyDescent="0.2">
      <c r="A16" s="109" t="str">
        <f>'Cotton Gin Input Data'!$A$22</f>
        <v>2nd lint cleaner</v>
      </c>
      <c r="B16" s="109" t="s">
        <v>2</v>
      </c>
      <c r="C16" s="62">
        <v>8.7000000000000001E-4</v>
      </c>
      <c r="D16" s="13">
        <f>+'Cotton Gin Input Data'!D22</f>
        <v>1</v>
      </c>
      <c r="E16" s="14" t="str">
        <f t="shared" si="0"/>
        <v>Cyclones</v>
      </c>
      <c r="F16" s="15">
        <f t="shared" si="1"/>
        <v>1</v>
      </c>
      <c r="G16" s="70">
        <f t="shared" si="2"/>
        <v>8.7000000000000001E-4</v>
      </c>
    </row>
    <row r="17" spans="1:7" s="7" customFormat="1" ht="14.25" x14ac:dyDescent="0.2">
      <c r="A17" s="109" t="str">
        <f>'Cotton Gin Input Data'!$A$23</f>
        <v>Battery condenser</v>
      </c>
      <c r="B17" s="109" t="s">
        <v>2</v>
      </c>
      <c r="C17" s="62">
        <v>7.7999999999999999E-4</v>
      </c>
      <c r="D17" s="13">
        <f>+'Cotton Gin Input Data'!D23</f>
        <v>2</v>
      </c>
      <c r="E17" s="14" t="str">
        <f t="shared" si="0"/>
        <v>Small Mesh</v>
      </c>
      <c r="F17" s="15">
        <f t="shared" si="1"/>
        <v>5</v>
      </c>
      <c r="G17" s="62">
        <f t="shared" si="2"/>
        <v>3.8999999999999998E-3</v>
      </c>
    </row>
    <row r="18" spans="1:7" s="7" customFormat="1" ht="14.25" x14ac:dyDescent="0.2">
      <c r="A18" s="109" t="str">
        <f>'Cotton Gin Input Data'!$A$24</f>
        <v>#1 Mote</v>
      </c>
      <c r="B18" s="109" t="s">
        <v>2</v>
      </c>
      <c r="C18" s="62">
        <v>2.0799999999999998E-3</v>
      </c>
      <c r="D18" s="13">
        <f>+'Cotton Gin Input Data'!D24</f>
        <v>1</v>
      </c>
      <c r="E18" s="14" t="str">
        <f t="shared" si="0"/>
        <v>Cyclones</v>
      </c>
      <c r="F18" s="15">
        <f t="shared" si="1"/>
        <v>1</v>
      </c>
      <c r="G18" s="62">
        <f t="shared" si="2"/>
        <v>2.0799999999999998E-3</v>
      </c>
    </row>
    <row r="19" spans="1:7" s="7" customFormat="1" ht="14.25" x14ac:dyDescent="0.2">
      <c r="A19" s="109" t="str">
        <f>'Cotton Gin Input Data'!$A$25</f>
        <v>#2 Mote</v>
      </c>
      <c r="B19" s="109" t="s">
        <v>2</v>
      </c>
      <c r="C19" s="62">
        <v>1E-3</v>
      </c>
      <c r="D19" s="13">
        <f>+'Cotton Gin Input Data'!D25</f>
        <v>1</v>
      </c>
      <c r="E19" s="14" t="str">
        <f t="shared" si="0"/>
        <v>Cyclones</v>
      </c>
      <c r="F19" s="15">
        <f t="shared" si="1"/>
        <v>1</v>
      </c>
      <c r="G19" s="62">
        <f t="shared" si="2"/>
        <v>1E-3</v>
      </c>
    </row>
    <row r="20" spans="1:7" s="7" customFormat="1" ht="14.25" x14ac:dyDescent="0.2">
      <c r="A20" s="109" t="str">
        <f>'Cotton Gin Input Data'!$A$26</f>
        <v>Mote Robber (h)</v>
      </c>
      <c r="B20" s="109" t="s">
        <v>2</v>
      </c>
      <c r="C20" s="62">
        <v>2.3999999999999998E-3</v>
      </c>
      <c r="D20" s="13">
        <f>+'Cotton Gin Input Data'!D26</f>
        <v>1</v>
      </c>
      <c r="E20" s="14" t="str">
        <f t="shared" si="0"/>
        <v>Cyclones</v>
      </c>
      <c r="F20" s="15">
        <f t="shared" si="1"/>
        <v>1</v>
      </c>
      <c r="G20" s="62">
        <f t="shared" si="2"/>
        <v>2.3999999999999998E-3</v>
      </c>
    </row>
    <row r="21" spans="1:7" s="7" customFormat="1" ht="14.25" x14ac:dyDescent="0.2">
      <c r="A21" s="109" t="str">
        <f>'Cotton Gin Input Data'!$A$27</f>
        <v>Mote Trash</v>
      </c>
      <c r="B21" s="109" t="s">
        <v>2</v>
      </c>
      <c r="C21" s="62">
        <v>6.8000000000000005E-4</v>
      </c>
      <c r="D21" s="13">
        <f>+'Cotton Gin Input Data'!D27</f>
        <v>1</v>
      </c>
      <c r="E21" s="14" t="str">
        <f t="shared" si="0"/>
        <v>Cyclones</v>
      </c>
      <c r="F21" s="15">
        <f t="shared" si="1"/>
        <v>1</v>
      </c>
      <c r="G21" s="62">
        <f t="shared" si="2"/>
        <v>6.8000000000000005E-4</v>
      </c>
    </row>
    <row r="22" spans="1:7" s="7" customFormat="1" ht="30" x14ac:dyDescent="0.2">
      <c r="A22" s="91" t="s">
        <v>24</v>
      </c>
      <c r="B22" s="100" t="s">
        <v>24</v>
      </c>
      <c r="C22" s="100" t="s">
        <v>24</v>
      </c>
      <c r="D22" s="100" t="s">
        <v>24</v>
      </c>
      <c r="E22" s="100" t="s">
        <v>24</v>
      </c>
      <c r="F22" s="100" t="s">
        <v>24</v>
      </c>
      <c r="G22" s="99">
        <f>SUM(G15:G21)</f>
        <v>1.4057999999999998E-2</v>
      </c>
    </row>
    <row r="23" spans="1:7" s="7" customFormat="1" ht="30" x14ac:dyDescent="0.2">
      <c r="A23" s="91" t="s">
        <v>53</v>
      </c>
      <c r="B23" s="100" t="s">
        <v>53</v>
      </c>
      <c r="C23" s="121"/>
      <c r="D23" s="100" t="s">
        <v>53</v>
      </c>
      <c r="E23" s="100" t="s">
        <v>53</v>
      </c>
      <c r="F23" s="100" t="s">
        <v>53</v>
      </c>
      <c r="G23" s="99">
        <f>(G9+G14+G22)/(+'Cotton Gin Input Data'!G15++'Cotton Gin Input Data'!G20++'Cotton Gin Input Data'!G28)</f>
        <v>2.3618038010780482E-2</v>
      </c>
    </row>
    <row r="24" spans="1:7" s="7" customFormat="1" ht="14.25" x14ac:dyDescent="0.2">
      <c r="A24" s="54" t="s">
        <v>108</v>
      </c>
    </row>
    <row r="25" spans="1:7" hidden="1" x14ac:dyDescent="0.2">
      <c r="G25" s="1"/>
    </row>
    <row r="26" spans="1:7" hidden="1" x14ac:dyDescent="0.2"/>
    <row r="27" spans="1:7" hidden="1" x14ac:dyDescent="0.2">
      <c r="G27" s="1"/>
    </row>
    <row r="28" spans="1:7" hidden="1" x14ac:dyDescent="0.2"/>
  </sheetData>
  <sheetProtection algorithmName="SHA-512" hashValue="TUK2+cqcJhS1MQGLLkV/N5PDUE4sJQ7j+876UUJewV1GJpz098iFe9n0BElxdJca4WT55XUhxiSCPvz2nnLB7w==" saltValue="hNLmSF2ayswxCV+wgEpUUQ==" spinCount="100000" sheet="1" objects="1" scenarios="1"/>
  <mergeCells count="4">
    <mergeCell ref="A1:G1"/>
    <mergeCell ref="A2:G2"/>
    <mergeCell ref="A3:G3"/>
    <mergeCell ref="A4:G4"/>
  </mergeCells>
  <pageMargins left="0.7" right="0.7" top="0.75" bottom="0.75" header="0.3" footer="0.3"/>
  <pageSetup scale="75"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EDDD-9659-41E8-9E46-9E0685817BB0}">
  <sheetPr codeName="Sheet11">
    <pageSetUpPr fitToPage="1"/>
  </sheetPr>
  <dimension ref="A1:K53"/>
  <sheetViews>
    <sheetView workbookViewId="0">
      <selection sqref="A1:F1"/>
    </sheetView>
  </sheetViews>
  <sheetFormatPr defaultColWidth="0" defaultRowHeight="12.75" zeroHeight="1" x14ac:dyDescent="0.2"/>
  <cols>
    <col min="1" max="1" width="45.42578125" customWidth="1"/>
    <col min="2" max="2" width="16.140625" style="65" customWidth="1"/>
    <col min="3" max="6" width="9.140625" customWidth="1"/>
    <col min="7" max="11" width="0" hidden="1" customWidth="1"/>
    <col min="12" max="16384" width="9.140625" hidden="1"/>
  </cols>
  <sheetData>
    <row r="1" spans="1:10" s="2" customFormat="1" ht="6" customHeight="1" x14ac:dyDescent="0.2">
      <c r="A1" s="128" t="s">
        <v>70</v>
      </c>
      <c r="B1" s="128"/>
      <c r="C1" s="128"/>
      <c r="D1" s="128"/>
      <c r="E1" s="128"/>
      <c r="F1" s="128"/>
      <c r="G1" s="35"/>
      <c r="H1" s="35"/>
      <c r="I1" s="35"/>
      <c r="J1" s="35"/>
    </row>
    <row r="2" spans="1:10" s="7" customFormat="1" ht="30" customHeight="1" x14ac:dyDescent="0.25">
      <c r="A2" s="127" t="s">
        <v>88</v>
      </c>
      <c r="B2" s="127"/>
      <c r="C2" s="127"/>
      <c r="D2" s="127"/>
      <c r="E2" s="127"/>
      <c r="F2" s="127"/>
      <c r="G2" s="39"/>
      <c r="H2" s="39"/>
      <c r="I2" s="39"/>
      <c r="J2" s="39"/>
    </row>
    <row r="3" spans="1:10" s="7" customFormat="1" ht="181.5" customHeight="1" thickBot="1" x14ac:dyDescent="0.25">
      <c r="A3" s="150" t="s">
        <v>105</v>
      </c>
      <c r="B3" s="150"/>
      <c r="C3" s="150"/>
      <c r="D3" s="150"/>
      <c r="E3" s="150"/>
      <c r="F3" s="150"/>
      <c r="G3" s="37"/>
      <c r="H3" s="37"/>
      <c r="I3" s="37"/>
      <c r="J3" s="37"/>
    </row>
    <row r="4" spans="1:10" s="171" customFormat="1" ht="18.75" customHeight="1" thickTop="1" thickBot="1" x14ac:dyDescent="0.25">
      <c r="A4" s="171" t="s">
        <v>106</v>
      </c>
    </row>
    <row r="5" spans="1:10" s="57" customFormat="1" ht="15" x14ac:dyDescent="0.25">
      <c r="A5" s="170" t="s">
        <v>99</v>
      </c>
      <c r="B5" s="170"/>
      <c r="C5" s="170"/>
      <c r="D5" s="170"/>
      <c r="E5" s="170"/>
      <c r="F5" s="170"/>
    </row>
    <row r="6" spans="1:10" s="57" customFormat="1" ht="30.75" customHeight="1" x14ac:dyDescent="0.2">
      <c r="A6" s="91" t="s">
        <v>90</v>
      </c>
      <c r="B6" s="91" t="s">
        <v>122</v>
      </c>
      <c r="C6" s="88" t="s">
        <v>118</v>
      </c>
      <c r="D6" s="97" t="s">
        <v>119</v>
      </c>
      <c r="E6" s="88" t="s">
        <v>120</v>
      </c>
      <c r="F6" s="88" t="s">
        <v>121</v>
      </c>
    </row>
    <row r="7" spans="1:10" s="57" customFormat="1" ht="14.25" x14ac:dyDescent="0.2">
      <c r="A7" s="63" t="s">
        <v>91</v>
      </c>
      <c r="B7" s="63" t="s">
        <v>92</v>
      </c>
      <c r="C7" s="51">
        <f>+$C$19</f>
        <v>0.23957000000000001</v>
      </c>
      <c r="D7" s="52">
        <f>+$C$19</f>
        <v>0.23957000000000001</v>
      </c>
      <c r="E7" s="51">
        <f>+$C$19</f>
        <v>0.23957000000000001</v>
      </c>
      <c r="F7" s="51">
        <f>+$C$19</f>
        <v>0.23957000000000001</v>
      </c>
    </row>
    <row r="8" spans="1:10" s="57" customFormat="1" ht="14.25" x14ac:dyDescent="0.2">
      <c r="A8" s="89" t="s">
        <v>91</v>
      </c>
      <c r="B8" s="63" t="s">
        <v>93</v>
      </c>
      <c r="C8" s="51">
        <f>+$C$20</f>
        <v>7.7280000000000001E-2</v>
      </c>
      <c r="D8" s="52">
        <f>+$C$20</f>
        <v>7.7280000000000001E-2</v>
      </c>
      <c r="E8" s="51">
        <f>+$C$20</f>
        <v>7.7280000000000001E-2</v>
      </c>
      <c r="F8" s="51">
        <f>+$C$20</f>
        <v>7.7280000000000001E-2</v>
      </c>
    </row>
    <row r="9" spans="1:10" s="57" customFormat="1" ht="14.25" x14ac:dyDescent="0.2">
      <c r="A9" s="63" t="s">
        <v>94</v>
      </c>
      <c r="B9" s="63" t="s">
        <v>92</v>
      </c>
      <c r="C9" s="51">
        <f>+$C$17</f>
        <v>1.1978500000000001</v>
      </c>
      <c r="D9" s="52">
        <f>+$C$19</f>
        <v>0.23957000000000001</v>
      </c>
      <c r="E9" s="51">
        <f>+$C$19</f>
        <v>0.23957000000000001</v>
      </c>
      <c r="F9" s="51">
        <f>+$C$19</f>
        <v>0.23957000000000001</v>
      </c>
    </row>
    <row r="10" spans="1:10" s="57" customFormat="1" ht="14.25" x14ac:dyDescent="0.2">
      <c r="A10" s="89" t="s">
        <v>94</v>
      </c>
      <c r="B10" s="63" t="s">
        <v>93</v>
      </c>
      <c r="C10" s="51">
        <f>+$C$18</f>
        <v>0.38640000000000002</v>
      </c>
      <c r="D10" s="52">
        <f>+$C$20</f>
        <v>7.7280000000000001E-2</v>
      </c>
      <c r="E10" s="51">
        <f>+$C$20</f>
        <v>7.7280000000000001E-2</v>
      </c>
      <c r="F10" s="51">
        <f>+$C$20</f>
        <v>7.7280000000000001E-2</v>
      </c>
    </row>
    <row r="11" spans="1:10" s="57" customFormat="1" ht="14.25" x14ac:dyDescent="0.2">
      <c r="A11" s="63" t="s">
        <v>95</v>
      </c>
      <c r="B11" s="63" t="s">
        <v>92</v>
      </c>
      <c r="C11" s="51">
        <f>+$C$17</f>
        <v>1.1978500000000001</v>
      </c>
      <c r="D11" s="52">
        <f>+$C$17</f>
        <v>1.1978500000000001</v>
      </c>
      <c r="E11" s="51">
        <f>+$C$19</f>
        <v>0.23957000000000001</v>
      </c>
      <c r="F11" s="51">
        <f>+$C$19</f>
        <v>0.23957000000000001</v>
      </c>
    </row>
    <row r="12" spans="1:10" s="57" customFormat="1" ht="14.25" x14ac:dyDescent="0.2">
      <c r="A12" s="89" t="s">
        <v>95</v>
      </c>
      <c r="B12" s="63" t="s">
        <v>93</v>
      </c>
      <c r="C12" s="51">
        <f>+$C$18</f>
        <v>0.38640000000000002</v>
      </c>
      <c r="D12" s="52">
        <f>+$C$18</f>
        <v>0.38640000000000002</v>
      </c>
      <c r="E12" s="51">
        <f>+$C$20</f>
        <v>7.7280000000000001E-2</v>
      </c>
      <c r="F12" s="51">
        <f>+$C$20</f>
        <v>7.7280000000000001E-2</v>
      </c>
    </row>
    <row r="13" spans="1:10" s="57" customFormat="1" ht="14.25" x14ac:dyDescent="0.2">
      <c r="A13" s="63" t="s">
        <v>96</v>
      </c>
      <c r="B13" s="63" t="s">
        <v>92</v>
      </c>
      <c r="C13" s="51">
        <f>+$C$17</f>
        <v>1.1978500000000001</v>
      </c>
      <c r="D13" s="52">
        <f>+$C$17</f>
        <v>1.1978500000000001</v>
      </c>
      <c r="E13" s="51">
        <f>+$C$17</f>
        <v>1.1978500000000001</v>
      </c>
      <c r="F13" s="51">
        <f>+$C$19</f>
        <v>0.23957000000000001</v>
      </c>
    </row>
    <row r="14" spans="1:10" s="57" customFormat="1" ht="14.25" x14ac:dyDescent="0.2">
      <c r="A14" s="89" t="s">
        <v>96</v>
      </c>
      <c r="B14" s="63" t="s">
        <v>93</v>
      </c>
      <c r="C14" s="51">
        <f>+$C$18</f>
        <v>0.38640000000000002</v>
      </c>
      <c r="D14" s="52">
        <f>+$C$18</f>
        <v>0.38640000000000002</v>
      </c>
      <c r="E14" s="51">
        <f>+$C$18</f>
        <v>0.38640000000000002</v>
      </c>
      <c r="F14" s="51">
        <f>+$C$20</f>
        <v>7.7280000000000001E-2</v>
      </c>
    </row>
    <row r="15" spans="1:10" s="57" customFormat="1" ht="15" x14ac:dyDescent="0.25">
      <c r="A15" s="60" t="s">
        <v>126</v>
      </c>
      <c r="B15" s="60" t="s">
        <v>92</v>
      </c>
      <c r="C15" s="66">
        <f t="shared" ref="C15:F16" si="0">+AVERAGE(C7,C9,C11,C13)</f>
        <v>0.95828000000000002</v>
      </c>
      <c r="D15" s="67">
        <f t="shared" si="0"/>
        <v>0.71870999999999996</v>
      </c>
      <c r="E15" s="66">
        <f t="shared" si="0"/>
        <v>0.47914000000000001</v>
      </c>
      <c r="F15" s="66">
        <f t="shared" si="0"/>
        <v>0.23957000000000001</v>
      </c>
    </row>
    <row r="16" spans="1:10" s="57" customFormat="1" ht="15" x14ac:dyDescent="0.25">
      <c r="A16" s="90" t="s">
        <v>126</v>
      </c>
      <c r="B16" s="60" t="s">
        <v>93</v>
      </c>
      <c r="C16" s="66">
        <f t="shared" si="0"/>
        <v>0.30912000000000001</v>
      </c>
      <c r="D16" s="67">
        <f t="shared" si="0"/>
        <v>0.23183999999999999</v>
      </c>
      <c r="E16" s="66">
        <f t="shared" si="0"/>
        <v>0.15456</v>
      </c>
      <c r="F16" s="66">
        <f t="shared" si="0"/>
        <v>7.7280000000000001E-2</v>
      </c>
    </row>
    <row r="17" spans="1:6" s="57" customFormat="1" ht="15" customHeight="1" x14ac:dyDescent="0.2">
      <c r="A17" s="57" t="s">
        <v>124</v>
      </c>
      <c r="B17" s="63" t="s">
        <v>97</v>
      </c>
      <c r="C17" s="51">
        <f>+C19*5</f>
        <v>1.1978500000000001</v>
      </c>
      <c r="D17" s="53" t="s">
        <v>100</v>
      </c>
      <c r="E17" s="53" t="s">
        <v>100</v>
      </c>
      <c r="F17" s="53" t="s">
        <v>100</v>
      </c>
    </row>
    <row r="18" spans="1:6" s="57" customFormat="1" ht="15" customHeight="1" x14ac:dyDescent="0.2">
      <c r="A18" s="72" t="s">
        <v>124</v>
      </c>
      <c r="B18" s="63" t="s">
        <v>98</v>
      </c>
      <c r="C18" s="51">
        <f>+C20*5</f>
        <v>0.38640000000000002</v>
      </c>
      <c r="D18" s="53" t="s">
        <v>100</v>
      </c>
      <c r="E18" s="53" t="s">
        <v>100</v>
      </c>
      <c r="F18" s="53" t="s">
        <v>100</v>
      </c>
    </row>
    <row r="19" spans="1:6" s="57" customFormat="1" ht="15" customHeight="1" x14ac:dyDescent="0.2">
      <c r="A19" s="57" t="s">
        <v>125</v>
      </c>
      <c r="B19" s="63" t="s">
        <v>97</v>
      </c>
      <c r="C19" s="114">
        <v>0.23957000000000001</v>
      </c>
      <c r="D19" s="53" t="s">
        <v>100</v>
      </c>
      <c r="E19" s="53" t="s">
        <v>100</v>
      </c>
      <c r="F19" s="53" t="s">
        <v>100</v>
      </c>
    </row>
    <row r="20" spans="1:6" s="57" customFormat="1" ht="15" customHeight="1" thickBot="1" x14ac:dyDescent="0.25">
      <c r="A20" s="50" t="s">
        <v>125</v>
      </c>
      <c r="B20" s="101" t="s">
        <v>98</v>
      </c>
      <c r="C20" s="114">
        <v>7.7280000000000001E-2</v>
      </c>
      <c r="D20" s="102" t="s">
        <v>100</v>
      </c>
      <c r="E20" s="102" t="s">
        <v>100</v>
      </c>
      <c r="F20" s="102" t="s">
        <v>100</v>
      </c>
    </row>
    <row r="21" spans="1:6" s="57" customFormat="1" ht="15" x14ac:dyDescent="0.25">
      <c r="A21" s="170" t="s">
        <v>15</v>
      </c>
      <c r="B21" s="170"/>
      <c r="C21" s="170"/>
      <c r="D21" s="170"/>
      <c r="E21" s="170"/>
      <c r="F21" s="170"/>
    </row>
    <row r="22" spans="1:6" s="57" customFormat="1" ht="30" customHeight="1" x14ac:dyDescent="0.2">
      <c r="A22" s="91" t="s">
        <v>90</v>
      </c>
      <c r="B22" s="91" t="s">
        <v>122</v>
      </c>
      <c r="C22" s="88" t="s">
        <v>118</v>
      </c>
      <c r="D22" s="97" t="s">
        <v>119</v>
      </c>
      <c r="E22" s="88" t="s">
        <v>120</v>
      </c>
      <c r="F22" s="88" t="s">
        <v>121</v>
      </c>
    </row>
    <row r="23" spans="1:6" s="57" customFormat="1" ht="14.25" x14ac:dyDescent="0.2">
      <c r="A23" s="63" t="s">
        <v>91</v>
      </c>
      <c r="B23" s="63" t="s">
        <v>92</v>
      </c>
      <c r="C23" s="51">
        <f>+$C$35</f>
        <v>6.0159999999999998E-2</v>
      </c>
      <c r="D23" s="51">
        <f>+$C$35</f>
        <v>6.0159999999999998E-2</v>
      </c>
      <c r="E23" s="51">
        <f>+$C$35</f>
        <v>6.0159999999999998E-2</v>
      </c>
      <c r="F23" s="51">
        <f>+$C$35</f>
        <v>6.0159999999999998E-2</v>
      </c>
    </row>
    <row r="24" spans="1:6" s="57" customFormat="1" ht="14.25" x14ac:dyDescent="0.2">
      <c r="A24" s="89" t="s">
        <v>91</v>
      </c>
      <c r="B24" s="63" t="s">
        <v>93</v>
      </c>
      <c r="C24" s="51">
        <f>+$C$36</f>
        <v>1.941E-2</v>
      </c>
      <c r="D24" s="51">
        <f>+$C$36</f>
        <v>1.941E-2</v>
      </c>
      <c r="E24" s="51">
        <f>+$C$36</f>
        <v>1.941E-2</v>
      </c>
      <c r="F24" s="51">
        <f>+$C$36</f>
        <v>1.941E-2</v>
      </c>
    </row>
    <row r="25" spans="1:6" s="57" customFormat="1" ht="14.25" x14ac:dyDescent="0.2">
      <c r="A25" s="63" t="s">
        <v>94</v>
      </c>
      <c r="B25" s="63" t="s">
        <v>92</v>
      </c>
      <c r="C25" s="51">
        <f>+$C$33</f>
        <v>0.30080000000000001</v>
      </c>
      <c r="D25" s="51">
        <f>+$C$35</f>
        <v>6.0159999999999998E-2</v>
      </c>
      <c r="E25" s="51">
        <f>+$C$35</f>
        <v>6.0159999999999998E-2</v>
      </c>
      <c r="F25" s="51">
        <f>+$C$35</f>
        <v>6.0159999999999998E-2</v>
      </c>
    </row>
    <row r="26" spans="1:6" s="57" customFormat="1" ht="14.25" x14ac:dyDescent="0.2">
      <c r="A26" s="89" t="s">
        <v>94</v>
      </c>
      <c r="B26" s="63" t="s">
        <v>93</v>
      </c>
      <c r="C26" s="51">
        <f>+$C$34</f>
        <v>9.7049999999999997E-2</v>
      </c>
      <c r="D26" s="51">
        <f>+$C$36</f>
        <v>1.941E-2</v>
      </c>
      <c r="E26" s="51">
        <f>+$C$36</f>
        <v>1.941E-2</v>
      </c>
      <c r="F26" s="51">
        <f>+$C$36</f>
        <v>1.941E-2</v>
      </c>
    </row>
    <row r="27" spans="1:6" s="57" customFormat="1" ht="14.25" x14ac:dyDescent="0.2">
      <c r="A27" s="63" t="s">
        <v>95</v>
      </c>
      <c r="B27" s="63" t="s">
        <v>92</v>
      </c>
      <c r="C27" s="51">
        <f>+$C$33</f>
        <v>0.30080000000000001</v>
      </c>
      <c r="D27" s="51">
        <f>+$C$33</f>
        <v>0.30080000000000001</v>
      </c>
      <c r="E27" s="51">
        <f>+$C$35</f>
        <v>6.0159999999999998E-2</v>
      </c>
      <c r="F27" s="51">
        <f>+$C$35</f>
        <v>6.0159999999999998E-2</v>
      </c>
    </row>
    <row r="28" spans="1:6" s="57" customFormat="1" ht="14.25" x14ac:dyDescent="0.2">
      <c r="A28" s="89" t="s">
        <v>95</v>
      </c>
      <c r="B28" s="63" t="s">
        <v>93</v>
      </c>
      <c r="C28" s="51">
        <f>+$C$34</f>
        <v>9.7049999999999997E-2</v>
      </c>
      <c r="D28" s="51">
        <f>+$C$34</f>
        <v>9.7049999999999997E-2</v>
      </c>
      <c r="E28" s="51">
        <f>+$C$36</f>
        <v>1.941E-2</v>
      </c>
      <c r="F28" s="51">
        <f>+$C$36</f>
        <v>1.941E-2</v>
      </c>
    </row>
    <row r="29" spans="1:6" s="57" customFormat="1" ht="14.25" x14ac:dyDescent="0.2">
      <c r="A29" s="63" t="s">
        <v>96</v>
      </c>
      <c r="B29" s="63" t="s">
        <v>92</v>
      </c>
      <c r="C29" s="51">
        <f>+$C$33</f>
        <v>0.30080000000000001</v>
      </c>
      <c r="D29" s="51">
        <f>+$C$33</f>
        <v>0.30080000000000001</v>
      </c>
      <c r="E29" s="51">
        <f>+$C$33</f>
        <v>0.30080000000000001</v>
      </c>
      <c r="F29" s="51">
        <f>+$C$35</f>
        <v>6.0159999999999998E-2</v>
      </c>
    </row>
    <row r="30" spans="1:6" s="57" customFormat="1" ht="14.25" x14ac:dyDescent="0.2">
      <c r="A30" s="89" t="s">
        <v>96</v>
      </c>
      <c r="B30" s="63" t="s">
        <v>93</v>
      </c>
      <c r="C30" s="51">
        <f>+$C$34</f>
        <v>9.7049999999999997E-2</v>
      </c>
      <c r="D30" s="51">
        <f>+$C$34</f>
        <v>9.7049999999999997E-2</v>
      </c>
      <c r="E30" s="51">
        <f>+$C$34</f>
        <v>9.7049999999999997E-2</v>
      </c>
      <c r="F30" s="51">
        <f>+$C$36</f>
        <v>1.941E-2</v>
      </c>
    </row>
    <row r="31" spans="1:6" s="57" customFormat="1" ht="15" x14ac:dyDescent="0.25">
      <c r="A31" s="60" t="s">
        <v>126</v>
      </c>
      <c r="B31" s="60" t="s">
        <v>92</v>
      </c>
      <c r="C31" s="66">
        <f t="shared" ref="C31:F32" si="1">+AVERAGE(C23,C25,C27,C29)</f>
        <v>0.24064000000000002</v>
      </c>
      <c r="D31" s="67">
        <f t="shared" si="1"/>
        <v>0.18048</v>
      </c>
      <c r="E31" s="66">
        <f t="shared" si="1"/>
        <v>0.12032000000000001</v>
      </c>
      <c r="F31" s="66">
        <f t="shared" si="1"/>
        <v>6.0159999999999998E-2</v>
      </c>
    </row>
    <row r="32" spans="1:6" s="57" customFormat="1" ht="15" x14ac:dyDescent="0.25">
      <c r="A32" s="90" t="s">
        <v>126</v>
      </c>
      <c r="B32" s="60" t="s">
        <v>93</v>
      </c>
      <c r="C32" s="66">
        <f t="shared" si="1"/>
        <v>7.7639999999999987E-2</v>
      </c>
      <c r="D32" s="67">
        <f t="shared" si="1"/>
        <v>5.8229999999999997E-2</v>
      </c>
      <c r="E32" s="66">
        <f t="shared" si="1"/>
        <v>3.882E-2</v>
      </c>
      <c r="F32" s="66">
        <f t="shared" si="1"/>
        <v>1.941E-2</v>
      </c>
    </row>
    <row r="33" spans="1:6" s="57" customFormat="1" ht="15" customHeight="1" x14ac:dyDescent="0.2">
      <c r="A33" s="57" t="s">
        <v>124</v>
      </c>
      <c r="B33" s="63" t="s">
        <v>97</v>
      </c>
      <c r="C33" s="51">
        <f>+C35*5</f>
        <v>0.30080000000000001</v>
      </c>
      <c r="D33" s="53" t="s">
        <v>100</v>
      </c>
      <c r="E33" s="53" t="s">
        <v>100</v>
      </c>
      <c r="F33" s="53" t="s">
        <v>100</v>
      </c>
    </row>
    <row r="34" spans="1:6" s="57" customFormat="1" ht="15" customHeight="1" x14ac:dyDescent="0.2">
      <c r="A34" s="72" t="s">
        <v>124</v>
      </c>
      <c r="B34" s="63" t="s">
        <v>98</v>
      </c>
      <c r="C34" s="51">
        <f>+C36*5</f>
        <v>9.7049999999999997E-2</v>
      </c>
      <c r="D34" s="53" t="s">
        <v>100</v>
      </c>
      <c r="E34" s="53" t="s">
        <v>100</v>
      </c>
      <c r="F34" s="53" t="s">
        <v>100</v>
      </c>
    </row>
    <row r="35" spans="1:6" s="57" customFormat="1" ht="15" customHeight="1" x14ac:dyDescent="0.2">
      <c r="A35" s="57" t="s">
        <v>125</v>
      </c>
      <c r="B35" s="63" t="s">
        <v>97</v>
      </c>
      <c r="C35" s="62">
        <v>6.0159999999999998E-2</v>
      </c>
      <c r="D35" s="53" t="s">
        <v>100</v>
      </c>
      <c r="E35" s="53" t="s">
        <v>100</v>
      </c>
      <c r="F35" s="53" t="s">
        <v>100</v>
      </c>
    </row>
    <row r="36" spans="1:6" s="57" customFormat="1" ht="15" customHeight="1" thickBot="1" x14ac:dyDescent="0.25">
      <c r="A36" s="50" t="s">
        <v>125</v>
      </c>
      <c r="B36" s="101" t="s">
        <v>98</v>
      </c>
      <c r="C36" s="62">
        <v>1.941E-2</v>
      </c>
      <c r="D36" s="102" t="s">
        <v>100</v>
      </c>
      <c r="E36" s="102" t="s">
        <v>100</v>
      </c>
      <c r="F36" s="102" t="s">
        <v>100</v>
      </c>
    </row>
    <row r="37" spans="1:6" s="57" customFormat="1" ht="15" x14ac:dyDescent="0.25">
      <c r="A37" s="170" t="s">
        <v>22</v>
      </c>
      <c r="B37" s="170"/>
      <c r="C37" s="170"/>
      <c r="D37" s="170"/>
      <c r="E37" s="170"/>
      <c r="F37" s="170"/>
    </row>
    <row r="38" spans="1:6" s="57" customFormat="1" ht="30" customHeight="1" x14ac:dyDescent="0.2">
      <c r="A38" s="91" t="s">
        <v>90</v>
      </c>
      <c r="B38" s="91" t="s">
        <v>122</v>
      </c>
      <c r="C38" s="88" t="s">
        <v>118</v>
      </c>
      <c r="D38" s="97" t="s">
        <v>119</v>
      </c>
      <c r="E38" s="88" t="s">
        <v>120</v>
      </c>
      <c r="F38" s="88" t="s">
        <v>121</v>
      </c>
    </row>
    <row r="39" spans="1:6" s="57" customFormat="1" ht="14.25" x14ac:dyDescent="0.2">
      <c r="A39" s="63" t="s">
        <v>91</v>
      </c>
      <c r="B39" s="63" t="s">
        <v>92</v>
      </c>
      <c r="C39" s="51">
        <f>+$C$51</f>
        <v>3.6800000000000001E-3</v>
      </c>
      <c r="D39" s="51">
        <f>+$C$51</f>
        <v>3.6800000000000001E-3</v>
      </c>
      <c r="E39" s="51">
        <f>+$C$51</f>
        <v>3.6800000000000001E-3</v>
      </c>
      <c r="F39" s="51">
        <f>+$C$51</f>
        <v>3.6800000000000001E-3</v>
      </c>
    </row>
    <row r="40" spans="1:6" s="57" customFormat="1" ht="14.25" x14ac:dyDescent="0.2">
      <c r="A40" s="89" t="s">
        <v>91</v>
      </c>
      <c r="B40" s="63" t="s">
        <v>93</v>
      </c>
      <c r="C40" s="51">
        <f>+$C$52</f>
        <v>8.7000000000000001E-4</v>
      </c>
      <c r="D40" s="51">
        <f>+$C$52</f>
        <v>8.7000000000000001E-4</v>
      </c>
      <c r="E40" s="51">
        <f>+$C$52</f>
        <v>8.7000000000000001E-4</v>
      </c>
      <c r="F40" s="51">
        <f>+$C$52</f>
        <v>8.7000000000000001E-4</v>
      </c>
    </row>
    <row r="41" spans="1:6" s="57" customFormat="1" ht="14.25" x14ac:dyDescent="0.2">
      <c r="A41" s="63" t="s">
        <v>94</v>
      </c>
      <c r="B41" s="63" t="s">
        <v>92</v>
      </c>
      <c r="C41" s="51">
        <f>+$C$49</f>
        <v>1.84E-2</v>
      </c>
      <c r="D41" s="51">
        <f>+$C$51</f>
        <v>3.6800000000000001E-3</v>
      </c>
      <c r="E41" s="51">
        <f>+$C$51</f>
        <v>3.6800000000000001E-3</v>
      </c>
      <c r="F41" s="51">
        <f>+$C$51</f>
        <v>3.6800000000000001E-3</v>
      </c>
    </row>
    <row r="42" spans="1:6" s="57" customFormat="1" ht="14.25" x14ac:dyDescent="0.2">
      <c r="A42" s="89" t="s">
        <v>94</v>
      </c>
      <c r="B42" s="63" t="s">
        <v>93</v>
      </c>
      <c r="C42" s="51">
        <f>+$C$50</f>
        <v>4.3499999999999997E-3</v>
      </c>
      <c r="D42" s="51">
        <f>+$C$52</f>
        <v>8.7000000000000001E-4</v>
      </c>
      <c r="E42" s="51">
        <f>+$C$52</f>
        <v>8.7000000000000001E-4</v>
      </c>
      <c r="F42" s="51">
        <f>+$C$52</f>
        <v>8.7000000000000001E-4</v>
      </c>
    </row>
    <row r="43" spans="1:6" s="57" customFormat="1" ht="14.25" x14ac:dyDescent="0.2">
      <c r="A43" s="63" t="s">
        <v>95</v>
      </c>
      <c r="B43" s="63" t="s">
        <v>92</v>
      </c>
      <c r="C43" s="51">
        <f>+$C$49</f>
        <v>1.84E-2</v>
      </c>
      <c r="D43" s="51">
        <f>+$C$49</f>
        <v>1.84E-2</v>
      </c>
      <c r="E43" s="51">
        <f>+$C$51</f>
        <v>3.6800000000000001E-3</v>
      </c>
      <c r="F43" s="51">
        <f>+$C$51</f>
        <v>3.6800000000000001E-3</v>
      </c>
    </row>
    <row r="44" spans="1:6" s="57" customFormat="1" ht="14.25" x14ac:dyDescent="0.2">
      <c r="A44" s="89" t="s">
        <v>95</v>
      </c>
      <c r="B44" s="63" t="s">
        <v>93</v>
      </c>
      <c r="C44" s="51">
        <f>+$C$50</f>
        <v>4.3499999999999997E-3</v>
      </c>
      <c r="D44" s="51">
        <f>+$C$50</f>
        <v>4.3499999999999997E-3</v>
      </c>
      <c r="E44" s="51">
        <f>+$C$52</f>
        <v>8.7000000000000001E-4</v>
      </c>
      <c r="F44" s="51">
        <f>+$C$52</f>
        <v>8.7000000000000001E-4</v>
      </c>
    </row>
    <row r="45" spans="1:6" s="57" customFormat="1" ht="14.25" x14ac:dyDescent="0.2">
      <c r="A45" s="63" t="s">
        <v>96</v>
      </c>
      <c r="B45" s="63" t="s">
        <v>92</v>
      </c>
      <c r="C45" s="51">
        <f>+$C$49</f>
        <v>1.84E-2</v>
      </c>
      <c r="D45" s="51">
        <f>+$C$49</f>
        <v>1.84E-2</v>
      </c>
      <c r="E45" s="51">
        <f>+$C$49</f>
        <v>1.84E-2</v>
      </c>
      <c r="F45" s="51">
        <f>+$C$51</f>
        <v>3.6800000000000001E-3</v>
      </c>
    </row>
    <row r="46" spans="1:6" s="57" customFormat="1" ht="14.25" x14ac:dyDescent="0.2">
      <c r="A46" s="89" t="s">
        <v>96</v>
      </c>
      <c r="B46" s="63" t="s">
        <v>93</v>
      </c>
      <c r="C46" s="51">
        <f>+$C$50</f>
        <v>4.3499999999999997E-3</v>
      </c>
      <c r="D46" s="51">
        <f>+$C$50</f>
        <v>4.3499999999999997E-3</v>
      </c>
      <c r="E46" s="51">
        <f>+$C$50</f>
        <v>4.3499999999999997E-3</v>
      </c>
      <c r="F46" s="51">
        <f>+$C$52</f>
        <v>8.7000000000000001E-4</v>
      </c>
    </row>
    <row r="47" spans="1:6" s="57" customFormat="1" ht="15" x14ac:dyDescent="0.25">
      <c r="A47" s="60" t="s">
        <v>126</v>
      </c>
      <c r="B47" s="60" t="s">
        <v>92</v>
      </c>
      <c r="C47" s="66">
        <f t="shared" ref="C47:F48" si="2">+AVERAGE(C39,C41,C43,C45)</f>
        <v>1.472E-2</v>
      </c>
      <c r="D47" s="67">
        <f t="shared" si="2"/>
        <v>1.1039999999999999E-2</v>
      </c>
      <c r="E47" s="66">
        <f t="shared" si="2"/>
        <v>7.3600000000000002E-3</v>
      </c>
      <c r="F47" s="66">
        <f t="shared" si="2"/>
        <v>3.6800000000000001E-3</v>
      </c>
    </row>
    <row r="48" spans="1:6" s="57" customFormat="1" ht="15" x14ac:dyDescent="0.25">
      <c r="A48" s="90" t="s">
        <v>126</v>
      </c>
      <c r="B48" s="60" t="s">
        <v>93</v>
      </c>
      <c r="C48" s="66">
        <f t="shared" si="2"/>
        <v>3.4799999999999996E-3</v>
      </c>
      <c r="D48" s="67">
        <f t="shared" si="2"/>
        <v>2.6099999999999999E-3</v>
      </c>
      <c r="E48" s="66">
        <f t="shared" si="2"/>
        <v>1.7399999999999998E-3</v>
      </c>
      <c r="F48" s="66">
        <f t="shared" si="2"/>
        <v>8.7000000000000001E-4</v>
      </c>
    </row>
    <row r="49" spans="1:6" s="57" customFormat="1" ht="15" customHeight="1" x14ac:dyDescent="0.2">
      <c r="A49" s="57" t="s">
        <v>124</v>
      </c>
      <c r="B49" s="63" t="s">
        <v>97</v>
      </c>
      <c r="C49" s="51">
        <f>+C51*5</f>
        <v>1.84E-2</v>
      </c>
      <c r="D49" s="53" t="s">
        <v>100</v>
      </c>
      <c r="E49" s="53" t="s">
        <v>100</v>
      </c>
      <c r="F49" s="53" t="s">
        <v>100</v>
      </c>
    </row>
    <row r="50" spans="1:6" s="57" customFormat="1" ht="15" customHeight="1" x14ac:dyDescent="0.2">
      <c r="A50" s="72" t="s">
        <v>124</v>
      </c>
      <c r="B50" s="63" t="s">
        <v>98</v>
      </c>
      <c r="C50" s="51">
        <f>+C52*5</f>
        <v>4.3499999999999997E-3</v>
      </c>
      <c r="D50" s="53" t="s">
        <v>100</v>
      </c>
      <c r="E50" s="53" t="s">
        <v>100</v>
      </c>
      <c r="F50" s="53" t="s">
        <v>100</v>
      </c>
    </row>
    <row r="51" spans="1:6" s="57" customFormat="1" ht="15" customHeight="1" x14ac:dyDescent="0.2">
      <c r="A51" s="57" t="s">
        <v>125</v>
      </c>
      <c r="B51" s="63" t="s">
        <v>97</v>
      </c>
      <c r="C51" s="62">
        <v>3.6800000000000001E-3</v>
      </c>
      <c r="D51" s="53" t="s">
        <v>100</v>
      </c>
      <c r="E51" s="53" t="s">
        <v>100</v>
      </c>
      <c r="F51" s="53" t="s">
        <v>100</v>
      </c>
    </row>
    <row r="52" spans="1:6" s="58" customFormat="1" ht="15" customHeight="1" thickBot="1" x14ac:dyDescent="0.25">
      <c r="A52" s="72" t="s">
        <v>125</v>
      </c>
      <c r="B52" s="63" t="s">
        <v>98</v>
      </c>
      <c r="C52" s="62">
        <v>8.7000000000000001E-4</v>
      </c>
      <c r="D52" s="53" t="s">
        <v>100</v>
      </c>
      <c r="E52" s="53" t="s">
        <v>100</v>
      </c>
      <c r="F52" s="53" t="s">
        <v>100</v>
      </c>
    </row>
    <row r="53" spans="1:6" s="7" customFormat="1" ht="15" thickTop="1" x14ac:dyDescent="0.2">
      <c r="A53" s="54" t="s">
        <v>108</v>
      </c>
      <c r="B53" s="64"/>
    </row>
  </sheetData>
  <sheetProtection algorithmName="SHA-512" hashValue="2IhWZ+z5kTwz8/xjS/7bn7j4Ys7z3cBT51SUWdAJqf+2KRIh257PQAI25XvLO1z9wHJVFeO7PGz9hQl7qw3oHA==" saltValue="pUPF7Iu0Ru/EAYaeSJ34Yw==" spinCount="100000" sheet="1" objects="1" scenarios="1"/>
  <mergeCells count="7">
    <mergeCell ref="A37:F37"/>
    <mergeCell ref="A4:XFD4"/>
    <mergeCell ref="A1:F1"/>
    <mergeCell ref="A2:F2"/>
    <mergeCell ref="A3:F3"/>
    <mergeCell ref="A5:F5"/>
    <mergeCell ref="A21:F21"/>
  </mergeCells>
  <pageMargins left="0.7" right="0.7" top="0.75" bottom="0.75" header="0.3" footer="0.3"/>
  <pageSetup scale="70"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92EF7-2FBD-490D-9361-CB268DFF7569}">
  <sheetPr>
    <pageSetUpPr fitToPage="1"/>
  </sheetPr>
  <dimension ref="A1:G30"/>
  <sheetViews>
    <sheetView zoomScaleNormal="100" workbookViewId="0">
      <selection sqref="A1:G1"/>
    </sheetView>
  </sheetViews>
  <sheetFormatPr defaultColWidth="0" defaultRowHeight="12.75" zeroHeight="1" x14ac:dyDescent="0.2"/>
  <cols>
    <col min="1" max="1" width="25.28515625" style="110" customWidth="1"/>
    <col min="2" max="2" width="22.85546875" style="110" customWidth="1"/>
    <col min="3" max="3" width="12.28515625" style="110" customWidth="1"/>
    <col min="4" max="4" width="16.28515625" style="110" customWidth="1"/>
    <col min="5" max="5" width="19.42578125" style="110" customWidth="1"/>
    <col min="6" max="6" width="13.5703125" style="110" customWidth="1"/>
    <col min="7" max="7" width="15.85546875" style="110" customWidth="1"/>
    <col min="8" max="16384" width="9.140625" style="110" hidden="1"/>
  </cols>
  <sheetData>
    <row r="1" spans="1:7" ht="6.75" customHeight="1" x14ac:dyDescent="0.2">
      <c r="A1" s="142" t="s">
        <v>48</v>
      </c>
      <c r="B1" s="142"/>
      <c r="C1" s="142"/>
      <c r="D1" s="142"/>
      <c r="E1" s="142"/>
      <c r="F1" s="142"/>
      <c r="G1" s="142"/>
    </row>
    <row r="2" spans="1:7" ht="30" customHeight="1" x14ac:dyDescent="0.2">
      <c r="A2" s="143" t="s">
        <v>54</v>
      </c>
      <c r="B2" s="143"/>
      <c r="C2" s="143"/>
      <c r="D2" s="143"/>
      <c r="E2" s="143"/>
      <c r="F2" s="143"/>
      <c r="G2" s="143"/>
    </row>
    <row r="3" spans="1:7" ht="205.5" customHeight="1" thickBot="1" x14ac:dyDescent="0.25">
      <c r="A3" s="144" t="s">
        <v>138</v>
      </c>
      <c r="B3" s="145"/>
      <c r="C3" s="145"/>
      <c r="D3" s="145"/>
      <c r="E3" s="145"/>
      <c r="F3" s="145"/>
      <c r="G3" s="145"/>
    </row>
    <row r="4" spans="1:7" ht="21.75" customHeight="1" thickTop="1" thickBot="1" x14ac:dyDescent="0.25">
      <c r="A4" s="146" t="s">
        <v>85</v>
      </c>
      <c r="B4" s="146"/>
      <c r="C4" s="146"/>
      <c r="D4" s="146"/>
      <c r="E4" s="146"/>
      <c r="F4" s="146"/>
      <c r="G4" s="147"/>
    </row>
    <row r="5" spans="1:7" ht="15" x14ac:dyDescent="0.25">
      <c r="A5" s="148" t="s">
        <v>43</v>
      </c>
      <c r="B5" s="148"/>
      <c r="C5" s="148"/>
      <c r="D5" s="148"/>
      <c r="E5" s="148"/>
      <c r="F5" s="149"/>
      <c r="G5" s="40">
        <v>80</v>
      </c>
    </row>
    <row r="6" spans="1:7" ht="15" x14ac:dyDescent="0.25">
      <c r="A6" s="136" t="s">
        <v>44</v>
      </c>
      <c r="B6" s="136"/>
      <c r="C6" s="136"/>
      <c r="D6" s="136"/>
      <c r="E6" s="136"/>
      <c r="F6" s="137"/>
      <c r="G6" s="41">
        <v>155000</v>
      </c>
    </row>
    <row r="7" spans="1:7" ht="15" x14ac:dyDescent="0.25">
      <c r="A7" s="136" t="s">
        <v>42</v>
      </c>
      <c r="B7" s="136"/>
      <c r="C7" s="136"/>
      <c r="D7" s="136"/>
      <c r="E7" s="136"/>
      <c r="F7" s="137"/>
      <c r="G7" s="40" t="s">
        <v>36</v>
      </c>
    </row>
    <row r="8" spans="1:7" ht="15" x14ac:dyDescent="0.25">
      <c r="A8" s="136" t="s">
        <v>46</v>
      </c>
      <c r="B8" s="136"/>
      <c r="C8" s="136"/>
      <c r="D8" s="136"/>
      <c r="E8" s="136"/>
      <c r="F8" s="137"/>
      <c r="G8" s="40">
        <v>1</v>
      </c>
    </row>
    <row r="9" spans="1:7" ht="15.75" thickBot="1" x14ac:dyDescent="0.3">
      <c r="A9" s="138" t="s">
        <v>45</v>
      </c>
      <c r="B9" s="138"/>
      <c r="C9" s="138"/>
      <c r="D9" s="138"/>
      <c r="E9" s="138"/>
      <c r="F9" s="139"/>
      <c r="G9" s="42">
        <v>31000000</v>
      </c>
    </row>
    <row r="10" spans="1:7" ht="21.75" customHeight="1" thickTop="1" thickBot="1" x14ac:dyDescent="0.25">
      <c r="A10" s="140" t="s">
        <v>47</v>
      </c>
      <c r="B10" s="140"/>
      <c r="C10" s="140"/>
      <c r="D10" s="140"/>
      <c r="E10" s="140"/>
      <c r="F10" s="140"/>
      <c r="G10" s="141"/>
    </row>
    <row r="11" spans="1:7" ht="40.5" customHeight="1" thickBot="1" x14ac:dyDescent="0.25">
      <c r="A11" s="111" t="s">
        <v>0</v>
      </c>
      <c r="B11" s="112" t="s">
        <v>37</v>
      </c>
      <c r="C11" s="112" t="s">
        <v>38</v>
      </c>
      <c r="D11" s="112" t="s">
        <v>69</v>
      </c>
      <c r="E11" s="112" t="s">
        <v>40</v>
      </c>
      <c r="F11" s="112" t="s">
        <v>41</v>
      </c>
      <c r="G11" s="112" t="s">
        <v>123</v>
      </c>
    </row>
    <row r="12" spans="1:7" ht="14.25" x14ac:dyDescent="0.2">
      <c r="A12" s="113" t="s">
        <v>3</v>
      </c>
      <c r="B12" s="113" t="s">
        <v>2</v>
      </c>
      <c r="C12" s="114">
        <v>0.33400000000000002</v>
      </c>
      <c r="D12" s="43">
        <v>1</v>
      </c>
      <c r="E12" s="115" t="str">
        <f>IF(D12&lt;1,"No Control",CHOOSE(D12,"Cyclones","Small Mesh","Series Cyclone","Plenum","Drum Filter","Flutter Filter","No Point"))</f>
        <v>Cyclones</v>
      </c>
      <c r="F12" s="116">
        <f>IF(D12=0,10,CHOOSE(D12,1,5,0.5,0.685,0.1,5,0))</f>
        <v>1</v>
      </c>
      <c r="G12" s="114">
        <f>C12*F12</f>
        <v>0.33400000000000002</v>
      </c>
    </row>
    <row r="13" spans="1:7" ht="14.25" x14ac:dyDescent="0.2">
      <c r="A13" s="113" t="s">
        <v>4</v>
      </c>
      <c r="B13" s="113" t="s">
        <v>2</v>
      </c>
      <c r="C13" s="114">
        <v>0.129</v>
      </c>
      <c r="D13" s="43">
        <v>1</v>
      </c>
      <c r="E13" s="115" t="str">
        <f t="shared" ref="E13:E14" si="0">IF(D13&lt;1,"No Control",CHOOSE(D13,"Cyclones","Small Mesh","Series Cyclone","Plenum","Drum Filter","Flutter Filter","No Point"))</f>
        <v>Cyclones</v>
      </c>
      <c r="F13" s="116">
        <f>IF(D13=0,10,CHOOSE(D13,1,5,0.5,0.8882,0.1,5,0))</f>
        <v>1</v>
      </c>
      <c r="G13" s="114">
        <f t="shared" ref="G13:G14" si="1">C13*F13</f>
        <v>0.129</v>
      </c>
    </row>
    <row r="14" spans="1:7" ht="14.25" x14ac:dyDescent="0.2">
      <c r="A14" s="113" t="s">
        <v>20</v>
      </c>
      <c r="B14" s="113" t="s">
        <v>2</v>
      </c>
      <c r="C14" s="114">
        <v>5.1999999999999998E-2</v>
      </c>
      <c r="D14" s="43">
        <v>7</v>
      </c>
      <c r="E14" s="115" t="str">
        <f t="shared" si="0"/>
        <v>No Point</v>
      </c>
      <c r="F14" s="116">
        <f>IF(D14=0,10,CHOOSE(D14,1,5,0.5,0.583,0.1,5,0))</f>
        <v>0</v>
      </c>
      <c r="G14" s="114">
        <f t="shared" si="1"/>
        <v>0</v>
      </c>
    </row>
    <row r="15" spans="1:7" ht="30" x14ac:dyDescent="0.2">
      <c r="A15" s="117" t="s">
        <v>31</v>
      </c>
      <c r="B15" s="118" t="s">
        <v>31</v>
      </c>
      <c r="C15" s="118" t="s">
        <v>31</v>
      </c>
      <c r="D15" s="118" t="s">
        <v>31</v>
      </c>
      <c r="E15" s="118" t="s">
        <v>31</v>
      </c>
      <c r="F15" s="118" t="s">
        <v>31</v>
      </c>
      <c r="G15" s="119">
        <f>SUM(G12:G14)</f>
        <v>0.46300000000000002</v>
      </c>
    </row>
    <row r="16" spans="1:7" ht="14.25" x14ac:dyDescent="0.2">
      <c r="A16" s="113" t="s">
        <v>1</v>
      </c>
      <c r="B16" s="113" t="s">
        <v>2</v>
      </c>
      <c r="C16" s="114">
        <v>0.29599999999999999</v>
      </c>
      <c r="D16" s="43">
        <v>1</v>
      </c>
      <c r="E16" s="115" t="str">
        <f t="shared" ref="E16:E19" si="2">IF(D16&lt;1,"No Control",CHOOSE(D16,"Cyclones","Small Mesh","Series Cyclone","Plenum","Drum Filter","Flutter Filter","No Point"))</f>
        <v>Cyclones</v>
      </c>
      <c r="F16" s="116">
        <f>IF(D16=0,10,CHOOSE(D16,1,5,0.5,0.625,0.1,5,0))</f>
        <v>1</v>
      </c>
      <c r="G16" s="114">
        <f t="shared" ref="G16:G19" si="3">C16*F16</f>
        <v>0.29599999999999999</v>
      </c>
    </row>
    <row r="17" spans="1:7" ht="14.25" x14ac:dyDescent="0.2">
      <c r="A17" s="113" t="s">
        <v>5</v>
      </c>
      <c r="B17" s="113" t="s">
        <v>2</v>
      </c>
      <c r="C17" s="114">
        <v>6.3E-2</v>
      </c>
      <c r="D17" s="43">
        <v>7</v>
      </c>
      <c r="E17" s="115" t="str">
        <f t="shared" si="2"/>
        <v>No Point</v>
      </c>
      <c r="F17" s="116">
        <f>IF(D17=0,10,CHOOSE(D17,1,5,0.5,0.231,0.1,5,0))</f>
        <v>0</v>
      </c>
      <c r="G17" s="114">
        <f t="shared" si="3"/>
        <v>0</v>
      </c>
    </row>
    <row r="18" spans="1:7" ht="14.25" x14ac:dyDescent="0.2">
      <c r="A18" s="113" t="s">
        <v>21</v>
      </c>
      <c r="B18" s="113" t="s">
        <v>2</v>
      </c>
      <c r="C18" s="114">
        <v>0.41099999999999998</v>
      </c>
      <c r="D18" s="43">
        <v>1</v>
      </c>
      <c r="E18" s="115" t="str">
        <f t="shared" si="2"/>
        <v>Cyclones</v>
      </c>
      <c r="F18" s="116">
        <f>IF(D18=0,10,CHOOSE(D18,1,5,0.5,0.5536,0.1,5,0))</f>
        <v>1</v>
      </c>
      <c r="G18" s="114">
        <f t="shared" si="3"/>
        <v>0.41099999999999998</v>
      </c>
    </row>
    <row r="19" spans="1:7" ht="14.25" x14ac:dyDescent="0.2">
      <c r="A19" s="113" t="s">
        <v>27</v>
      </c>
      <c r="B19" s="113" t="s">
        <v>2</v>
      </c>
      <c r="C19" s="114">
        <v>4.4999999999999998E-2</v>
      </c>
      <c r="D19" s="43">
        <v>1</v>
      </c>
      <c r="E19" s="115" t="str">
        <f t="shared" si="2"/>
        <v>Cyclones</v>
      </c>
      <c r="F19" s="116">
        <f>IF(D19=0,10,CHOOSE(D19,1,5,0.5,0.5536,0.1,5,0))</f>
        <v>1</v>
      </c>
      <c r="G19" s="114">
        <f t="shared" si="3"/>
        <v>4.4999999999999998E-2</v>
      </c>
    </row>
    <row r="20" spans="1:7" ht="30" x14ac:dyDescent="0.2">
      <c r="A20" s="117" t="s">
        <v>32</v>
      </c>
      <c r="B20" s="118" t="s">
        <v>32</v>
      </c>
      <c r="C20" s="118" t="s">
        <v>32</v>
      </c>
      <c r="D20" s="118" t="s">
        <v>32</v>
      </c>
      <c r="E20" s="118" t="s">
        <v>32</v>
      </c>
      <c r="F20" s="118" t="s">
        <v>32</v>
      </c>
      <c r="G20" s="119">
        <f>SUM(G16:G19)</f>
        <v>0.752</v>
      </c>
    </row>
    <row r="21" spans="1:7" ht="14.25" x14ac:dyDescent="0.2">
      <c r="A21" s="113" t="s">
        <v>6</v>
      </c>
      <c r="B21" s="113" t="s">
        <v>2</v>
      </c>
      <c r="C21" s="114">
        <v>0.23957000000000001</v>
      </c>
      <c r="D21" s="43">
        <v>3</v>
      </c>
      <c r="E21" s="115" t="str">
        <f t="shared" ref="E21:E27" si="4">IF(D21&lt;1,"No Control",CHOOSE(D21,"Cyclones","Small Mesh","Series Cyclone","Plenum","Drum Filter","Flutter Filter","No Point"))</f>
        <v>Series Cyclone</v>
      </c>
      <c r="F21" s="116">
        <f t="shared" ref="F21:F27" si="5">IF(D21=0,10,CHOOSE(D21,1,5,0.5,0.629,0.1,5,0))</f>
        <v>0.5</v>
      </c>
      <c r="G21" s="70">
        <f t="shared" ref="G21:G27" si="6">C21*F21</f>
        <v>0.119785</v>
      </c>
    </row>
    <row r="22" spans="1:7" ht="14.25" x14ac:dyDescent="0.2">
      <c r="A22" s="113" t="s">
        <v>7</v>
      </c>
      <c r="B22" s="113" t="s">
        <v>2</v>
      </c>
      <c r="C22" s="114">
        <v>7.7280000000000001E-2</v>
      </c>
      <c r="D22" s="43">
        <v>1</v>
      </c>
      <c r="E22" s="115" t="str">
        <f t="shared" si="4"/>
        <v>Cyclones</v>
      </c>
      <c r="F22" s="116">
        <f t="shared" si="5"/>
        <v>1</v>
      </c>
      <c r="G22" s="70">
        <f t="shared" si="6"/>
        <v>7.7280000000000001E-2</v>
      </c>
    </row>
    <row r="23" spans="1:7" ht="14.25" x14ac:dyDescent="0.2">
      <c r="A23" s="113" t="s">
        <v>8</v>
      </c>
      <c r="B23" s="113" t="s">
        <v>2</v>
      </c>
      <c r="C23" s="114">
        <v>7.0000000000000007E-2</v>
      </c>
      <c r="D23" s="43">
        <v>2</v>
      </c>
      <c r="E23" s="115" t="str">
        <f t="shared" si="4"/>
        <v>Small Mesh</v>
      </c>
      <c r="F23" s="116">
        <f t="shared" si="5"/>
        <v>5</v>
      </c>
      <c r="G23" s="114">
        <f t="shared" si="6"/>
        <v>0.35000000000000003</v>
      </c>
    </row>
    <row r="24" spans="1:7" ht="14.25" x14ac:dyDescent="0.2">
      <c r="A24" s="113" t="s">
        <v>28</v>
      </c>
      <c r="B24" s="113" t="s">
        <v>2</v>
      </c>
      <c r="C24" s="114">
        <v>0.10501000000000001</v>
      </c>
      <c r="D24" s="43">
        <v>1</v>
      </c>
      <c r="E24" s="115" t="str">
        <f t="shared" si="4"/>
        <v>Cyclones</v>
      </c>
      <c r="F24" s="116">
        <f t="shared" si="5"/>
        <v>1</v>
      </c>
      <c r="G24" s="114">
        <f t="shared" si="6"/>
        <v>0.10501000000000001</v>
      </c>
    </row>
    <row r="25" spans="1:7" ht="14.25" x14ac:dyDescent="0.2">
      <c r="A25" s="113" t="s">
        <v>29</v>
      </c>
      <c r="B25" s="113" t="s">
        <v>2</v>
      </c>
      <c r="C25" s="114">
        <v>4.3130000000000002E-2</v>
      </c>
      <c r="D25" s="43">
        <v>1</v>
      </c>
      <c r="E25" s="115" t="str">
        <f t="shared" si="4"/>
        <v>Cyclones</v>
      </c>
      <c r="F25" s="116">
        <f t="shared" si="5"/>
        <v>1</v>
      </c>
      <c r="G25" s="114">
        <f t="shared" si="6"/>
        <v>4.3130000000000002E-2</v>
      </c>
    </row>
    <row r="26" spans="1:7" ht="14.25" x14ac:dyDescent="0.2">
      <c r="A26" s="115" t="s">
        <v>133</v>
      </c>
      <c r="B26" s="113" t="s">
        <v>2</v>
      </c>
      <c r="C26" s="114">
        <v>0.111</v>
      </c>
      <c r="D26" s="43">
        <v>1</v>
      </c>
      <c r="E26" s="115" t="str">
        <f t="shared" si="4"/>
        <v>Cyclones</v>
      </c>
      <c r="F26" s="116">
        <f t="shared" si="5"/>
        <v>1</v>
      </c>
      <c r="G26" s="114">
        <f t="shared" si="6"/>
        <v>0.111</v>
      </c>
    </row>
    <row r="27" spans="1:7" ht="14.25" x14ac:dyDescent="0.2">
      <c r="A27" s="115" t="s">
        <v>30</v>
      </c>
      <c r="B27" s="113" t="s">
        <v>2</v>
      </c>
      <c r="C27" s="114">
        <v>3.9E-2</v>
      </c>
      <c r="D27" s="43">
        <v>1</v>
      </c>
      <c r="E27" s="115" t="str">
        <f t="shared" si="4"/>
        <v>Cyclones</v>
      </c>
      <c r="F27" s="116">
        <f t="shared" si="5"/>
        <v>1</v>
      </c>
      <c r="G27" s="114">
        <f t="shared" si="6"/>
        <v>3.9E-2</v>
      </c>
    </row>
    <row r="28" spans="1:7" ht="30.75" thickBot="1" x14ac:dyDescent="0.25">
      <c r="A28" s="117" t="s">
        <v>24</v>
      </c>
      <c r="B28" s="118" t="s">
        <v>24</v>
      </c>
      <c r="C28" s="118" t="s">
        <v>24</v>
      </c>
      <c r="D28" s="118" t="s">
        <v>24</v>
      </c>
      <c r="E28" s="118" t="s">
        <v>24</v>
      </c>
      <c r="F28" s="118" t="s">
        <v>24</v>
      </c>
      <c r="G28" s="119">
        <f>SUM(G21:G27)</f>
        <v>0.8452050000000001</v>
      </c>
    </row>
    <row r="29" spans="1:7" ht="197.25" customHeight="1" thickTop="1" x14ac:dyDescent="0.2">
      <c r="A29" s="134" t="s">
        <v>139</v>
      </c>
      <c r="B29" s="135"/>
      <c r="C29" s="135"/>
      <c r="D29" s="135"/>
      <c r="E29" s="135"/>
      <c r="F29" s="135"/>
      <c r="G29" s="135"/>
    </row>
    <row r="30" spans="1:7" ht="14.25" x14ac:dyDescent="0.2">
      <c r="A30" s="120" t="s">
        <v>107</v>
      </c>
    </row>
  </sheetData>
  <sheetProtection algorithmName="SHA-512" hashValue="hgf6WaXsacbq6e76M8Lp/MQTDMRy9pXkb+HIb9bDZF6EvwPEI26DSrdo106720N26EWQvJrNvjwPz/DXcLwRdA==" saltValue="AmNmr46RJlZgyCutggTJkQ==" spinCount="100000" sheet="1" objects="1" scenarios="1"/>
  <mergeCells count="11">
    <mergeCell ref="A6:F6"/>
    <mergeCell ref="A1:G1"/>
    <mergeCell ref="A2:G2"/>
    <mergeCell ref="A3:G3"/>
    <mergeCell ref="A4:G4"/>
    <mergeCell ref="A5:F5"/>
    <mergeCell ref="A29:G29"/>
    <mergeCell ref="A7:F7"/>
    <mergeCell ref="A8:F8"/>
    <mergeCell ref="A9:F9"/>
    <mergeCell ref="A10:G10"/>
  </mergeCells>
  <dataValidations count="6">
    <dataValidation allowBlank="1" showInputMessage="1" showErrorMessage="1" prompt="Enter the control type" sqref="D12:D14 D16:D19 D21:D27" xr:uid="{CA1038E8-3B67-4F8E-A8EC-16B374DD40BD}"/>
    <dataValidation type="whole" operator="greaterThan" allowBlank="1" showInputMessage="1" showErrorMessage="1" prompt="Enter the total firing rate of the dryers in Btu per hour." sqref="G9" xr:uid="{B6C9E2EF-264C-401B-A9AF-AB752F39CB08}">
      <formula1>1</formula1>
    </dataValidation>
    <dataValidation type="list" showInputMessage="1" showErrorMessage="1" prompt="Enter or select &quot;Yes&quot; if the burr hopper is enclosed or controlled. Otherwise enter or select &quot;No&quot;." sqref="G7" xr:uid="{2A61B556-A5D8-44CD-9558-8DA59AE5BEBA}">
      <formula1>"Yes,No"</formula1>
    </dataValidation>
    <dataValidation type="whole" operator="greaterThan" allowBlank="1" showInputMessage="1" showErrorMessage="1" prompt="Enter the maximum bales per year" sqref="G6" xr:uid="{0CA3E2C0-EFF8-4826-A536-494D2255E548}">
      <formula1>1</formula1>
    </dataValidation>
    <dataValidation type="whole" operator="greaterThan" allowBlank="1" showInputMessage="1" showErrorMessage="1" prompt="Enter the maximum bales per hour" sqref="G5" xr:uid="{44656CCA-9306-4251-A29E-1B6AC8564F76}">
      <formula1>1</formula1>
    </dataValidation>
    <dataValidation type="list" showInputMessage="1" showErrorMessage="1" prompt="What fuel is combusted in Dryers? Enter or select &quot;1&quot; for natural gas, &quot;2&quot; for butane, or &quot;3&quot; for propane." sqref="G8" xr:uid="{27E77C0C-4274-4575-AE08-0AE08C34FC33}">
      <formula1>"1,2,3"</formula1>
    </dataValidation>
  </dataValidations>
  <pageMargins left="0.7" right="0.7" top="0.75" bottom="0.75" header="0.3" footer="0.3"/>
  <pageSetup scale="73"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E217-AAEA-4C33-821B-97FDE7266958}">
  <sheetPr codeName="Sheet3">
    <pageSetUpPr fitToPage="1"/>
  </sheetPr>
  <dimension ref="A1:F27"/>
  <sheetViews>
    <sheetView workbookViewId="0">
      <selection sqref="A1:D1"/>
    </sheetView>
  </sheetViews>
  <sheetFormatPr defaultColWidth="0" defaultRowHeight="14.25" zeroHeight="1" x14ac:dyDescent="0.2"/>
  <cols>
    <col min="1" max="1" width="22.28515625" style="6" customWidth="1"/>
    <col min="2" max="2" width="25.42578125" style="6" customWidth="1"/>
    <col min="3" max="4" width="22.28515625" style="17" customWidth="1"/>
    <col min="5" max="6" width="0" style="6" hidden="1" customWidth="1"/>
    <col min="7" max="16384" width="22.28515625" style="6" hidden="1"/>
  </cols>
  <sheetData>
    <row r="1" spans="1:6" ht="6" customHeight="1" x14ac:dyDescent="0.2">
      <c r="A1" s="128" t="s">
        <v>70</v>
      </c>
      <c r="B1" s="128"/>
      <c r="C1" s="128"/>
      <c r="D1" s="128"/>
      <c r="E1" s="11"/>
      <c r="F1" s="11"/>
    </row>
    <row r="2" spans="1:6" ht="30" customHeight="1" x14ac:dyDescent="0.2">
      <c r="A2" s="127" t="s">
        <v>72</v>
      </c>
      <c r="B2" s="127"/>
      <c r="C2" s="127"/>
      <c r="D2" s="127"/>
      <c r="E2" s="27"/>
      <c r="F2" s="27"/>
    </row>
    <row r="3" spans="1:6" ht="45" customHeight="1" thickBot="1" x14ac:dyDescent="0.25">
      <c r="A3" s="150" t="s">
        <v>73</v>
      </c>
      <c r="B3" s="150"/>
      <c r="C3" s="150"/>
      <c r="D3" s="150"/>
      <c r="E3" s="28"/>
      <c r="F3" s="28"/>
    </row>
    <row r="4" spans="1:6" ht="24.75" customHeight="1" thickTop="1" thickBot="1" x14ac:dyDescent="0.25">
      <c r="A4" s="151" t="s">
        <v>72</v>
      </c>
      <c r="B4" s="151"/>
      <c r="C4" s="151"/>
      <c r="D4" s="152"/>
    </row>
    <row r="5" spans="1:6" ht="15.75" thickBot="1" x14ac:dyDescent="0.3">
      <c r="A5" s="38" t="s">
        <v>14</v>
      </c>
      <c r="B5" s="38" t="s">
        <v>66</v>
      </c>
      <c r="C5" s="153" t="s">
        <v>13</v>
      </c>
      <c r="D5" s="154"/>
    </row>
    <row r="6" spans="1:6" ht="15.75" thickBot="1" x14ac:dyDescent="0.3">
      <c r="A6" s="36" t="s">
        <v>14</v>
      </c>
      <c r="B6" s="36" t="s">
        <v>66</v>
      </c>
      <c r="C6" s="31" t="s">
        <v>11</v>
      </c>
      <c r="D6" s="74" t="s">
        <v>12</v>
      </c>
    </row>
    <row r="7" spans="1:6" x14ac:dyDescent="0.2">
      <c r="A7" s="71" t="s">
        <v>34</v>
      </c>
      <c r="B7" s="57" t="s">
        <v>23</v>
      </c>
      <c r="C7" s="29">
        <f>'System Calculations'!$E$7</f>
        <v>37.04</v>
      </c>
      <c r="D7" s="30">
        <f>'System Calculations'!$F$7</f>
        <v>35.8825</v>
      </c>
      <c r="F7" s="10"/>
    </row>
    <row r="8" spans="1:6" x14ac:dyDescent="0.2">
      <c r="A8" s="72" t="s">
        <v>34</v>
      </c>
      <c r="B8" s="57" t="s">
        <v>15</v>
      </c>
      <c r="C8" s="30">
        <f>'System Calculations'!$H$7</f>
        <v>17.2</v>
      </c>
      <c r="D8" s="30">
        <f>'System Calculations'!$I$7</f>
        <v>16.662500000000001</v>
      </c>
      <c r="F8" s="10"/>
    </row>
    <row r="9" spans="1:6" x14ac:dyDescent="0.2">
      <c r="A9" s="73" t="s">
        <v>34</v>
      </c>
      <c r="B9" s="32" t="s">
        <v>22</v>
      </c>
      <c r="C9" s="33">
        <f>'System Calculations'!$K$7</f>
        <v>1.048</v>
      </c>
      <c r="D9" s="33">
        <f>'System Calculations'!$L$7</f>
        <v>1.01525</v>
      </c>
      <c r="F9" s="10"/>
    </row>
    <row r="10" spans="1:6" x14ac:dyDescent="0.2">
      <c r="A10" s="57" t="s">
        <v>25</v>
      </c>
      <c r="B10" s="57" t="s">
        <v>23</v>
      </c>
      <c r="C10" s="30">
        <f>'Combustion Calculations'!$E$6</f>
        <v>0.23559999999999998</v>
      </c>
      <c r="D10" s="30">
        <f>'Combustion Calculations'!$F$6</f>
        <v>0.34235624999999997</v>
      </c>
      <c r="F10" s="10"/>
    </row>
    <row r="11" spans="1:6" x14ac:dyDescent="0.2">
      <c r="A11" s="72" t="s">
        <v>25</v>
      </c>
      <c r="B11" s="57" t="s">
        <v>15</v>
      </c>
      <c r="C11" s="30">
        <f>'Combustion Calculations'!$E$7</f>
        <v>0.23559999999999998</v>
      </c>
      <c r="D11" s="30">
        <f>'Combustion Calculations'!$F$7</f>
        <v>0.34235624999999997</v>
      </c>
      <c r="F11" s="10"/>
    </row>
    <row r="12" spans="1:6" x14ac:dyDescent="0.2">
      <c r="A12" s="72" t="s">
        <v>25</v>
      </c>
      <c r="B12" s="57" t="s">
        <v>22</v>
      </c>
      <c r="C12" s="30">
        <f>'Combustion Calculations'!$E$8</f>
        <v>0.23559999999999998</v>
      </c>
      <c r="D12" s="30">
        <f>'Combustion Calculations'!$F$8</f>
        <v>0.34235624999999997</v>
      </c>
      <c r="F12" s="10"/>
    </row>
    <row r="13" spans="1:6" x14ac:dyDescent="0.2">
      <c r="A13" s="72" t="s">
        <v>25</v>
      </c>
      <c r="B13" s="57" t="s">
        <v>16</v>
      </c>
      <c r="C13" s="30">
        <f>'Combustion Calculations'!$E$9</f>
        <v>0.17049999999999998</v>
      </c>
      <c r="D13" s="30">
        <f>'Combustion Calculations'!$F$9</f>
        <v>0.24775781249999998</v>
      </c>
      <c r="F13" s="10"/>
    </row>
    <row r="14" spans="1:6" x14ac:dyDescent="0.2">
      <c r="A14" s="72" t="s">
        <v>25</v>
      </c>
      <c r="B14" s="57" t="s">
        <v>17</v>
      </c>
      <c r="C14" s="30">
        <f>'Combustion Calculations'!$E$10</f>
        <v>3.1</v>
      </c>
      <c r="D14" s="30">
        <f>'Combustion Calculations'!$F$10</f>
        <v>4.5046875000000002</v>
      </c>
    </row>
    <row r="15" spans="1:6" x14ac:dyDescent="0.2">
      <c r="A15" s="72" t="s">
        <v>25</v>
      </c>
      <c r="B15" s="57" t="s">
        <v>18</v>
      </c>
      <c r="C15" s="30">
        <f>'Combustion Calculations'!$E$11</f>
        <v>2.6039999999999996</v>
      </c>
      <c r="D15" s="30">
        <f>'Combustion Calculations'!$F$11</f>
        <v>3.7839374999999995</v>
      </c>
    </row>
    <row r="16" spans="1:6" x14ac:dyDescent="0.2">
      <c r="A16" s="73" t="s">
        <v>25</v>
      </c>
      <c r="B16" s="32" t="s">
        <v>19</v>
      </c>
      <c r="C16" s="33">
        <f>'Combustion Calculations'!$E$12</f>
        <v>1.8599999999999998E-2</v>
      </c>
      <c r="D16" s="33">
        <f>'Combustion Calculations'!$F$12</f>
        <v>2.7028125E-2</v>
      </c>
    </row>
    <row r="17" spans="1:4" x14ac:dyDescent="0.2">
      <c r="A17" s="57" t="s">
        <v>33</v>
      </c>
      <c r="B17" s="57" t="s">
        <v>23</v>
      </c>
      <c r="C17" s="29">
        <f>'System Calculations'!$E$8</f>
        <v>60.16</v>
      </c>
      <c r="D17" s="30">
        <f>'System Calculations'!$F$8</f>
        <v>58.28</v>
      </c>
    </row>
    <row r="18" spans="1:4" x14ac:dyDescent="0.2">
      <c r="A18" s="72" t="s">
        <v>33</v>
      </c>
      <c r="B18" s="57" t="s">
        <v>15</v>
      </c>
      <c r="C18" s="30">
        <f>'System Calculations'!$H$8</f>
        <v>24.32</v>
      </c>
      <c r="D18" s="30">
        <f>'System Calculations'!$I$8</f>
        <v>23.56</v>
      </c>
    </row>
    <row r="19" spans="1:4" x14ac:dyDescent="0.2">
      <c r="A19" s="73" t="s">
        <v>33</v>
      </c>
      <c r="B19" s="32" t="s">
        <v>22</v>
      </c>
      <c r="C19" s="33">
        <f>'System Calculations'!$K$8</f>
        <v>1.7200000000000002</v>
      </c>
      <c r="D19" s="33">
        <f>'System Calculations'!$L$8</f>
        <v>1.6662500000000002</v>
      </c>
    </row>
    <row r="20" spans="1:4" x14ac:dyDescent="0.2">
      <c r="A20" s="57" t="s">
        <v>35</v>
      </c>
      <c r="B20" s="57" t="s">
        <v>23</v>
      </c>
      <c r="C20" s="29">
        <f>'System Calculations'!$E$9</f>
        <v>67.616400000000013</v>
      </c>
      <c r="D20" s="30">
        <f>'System Calculations'!$F$9</f>
        <v>65.503387500000002</v>
      </c>
    </row>
    <row r="21" spans="1:4" x14ac:dyDescent="0.2">
      <c r="A21" s="72" t="s">
        <v>35</v>
      </c>
      <c r="B21" s="57" t="s">
        <v>15</v>
      </c>
      <c r="C21" s="30">
        <f>'System Calculations'!$H$9</f>
        <v>18.331199999999999</v>
      </c>
      <c r="D21" s="30">
        <f>'System Calculations'!$I$9</f>
        <v>17.75835</v>
      </c>
    </row>
    <row r="22" spans="1:4" x14ac:dyDescent="0.2">
      <c r="A22" s="73" t="s">
        <v>35</v>
      </c>
      <c r="B22" s="32" t="s">
        <v>22</v>
      </c>
      <c r="C22" s="33">
        <f>'System Calculations'!$K$9</f>
        <v>1.1246399999999999</v>
      </c>
      <c r="D22" s="33">
        <f>'System Calculations'!$L$9</f>
        <v>1.0894949999999999</v>
      </c>
    </row>
    <row r="23" spans="1:4" x14ac:dyDescent="0.2">
      <c r="A23" s="57" t="s">
        <v>26</v>
      </c>
      <c r="B23" s="57" t="s">
        <v>23</v>
      </c>
      <c r="C23" s="30">
        <f>'Trash Handling Calculations'!$E$7</f>
        <v>12</v>
      </c>
      <c r="D23" s="30">
        <f>'Trash Handling Calculations'!$F$7</f>
        <v>11.625</v>
      </c>
    </row>
    <row r="24" spans="1:4" x14ac:dyDescent="0.2">
      <c r="A24" s="72" t="s">
        <v>26</v>
      </c>
      <c r="B24" s="57" t="s">
        <v>15</v>
      </c>
      <c r="C24" s="30">
        <f>'Trash Handling Calculations'!$H$7</f>
        <v>4.3576634364056002</v>
      </c>
      <c r="D24" s="30">
        <f>'Trash Handling Calculations'!$I$7</f>
        <v>4.2214864540179251</v>
      </c>
    </row>
    <row r="25" spans="1:4" x14ac:dyDescent="0.2">
      <c r="A25" s="72" t="s">
        <v>26</v>
      </c>
      <c r="B25" s="57" t="s">
        <v>22</v>
      </c>
      <c r="C25" s="30">
        <f>'Trash Handling Calculations'!$K$7</f>
        <v>0.28341645612936578</v>
      </c>
      <c r="D25" s="30">
        <f>'Trash Handling Calculations'!$L$7</f>
        <v>0.27455969187532309</v>
      </c>
    </row>
    <row r="26" spans="1:4" x14ac:dyDescent="0.2">
      <c r="A26" s="54" t="s">
        <v>108</v>
      </c>
    </row>
    <row r="27" spans="1:4" hidden="1" x14ac:dyDescent="0.2"/>
  </sheetData>
  <sheetProtection algorithmName="SHA-512" hashValue="z7r610IPzM3UB1FmVgpPEh/fGykvagMT4D33Sei9Nqj2FIyJ10dZoPyXXCbdd/lkcM+9VlBUKRCESFwu3H985w==" saltValue="rrQqj990wIV0STbq064Xkg==" spinCount="100000" sheet="1" objects="1" scenarios="1"/>
  <mergeCells count="5">
    <mergeCell ref="A1:D1"/>
    <mergeCell ref="A2:D2"/>
    <mergeCell ref="A3:D3"/>
    <mergeCell ref="A4:D4"/>
    <mergeCell ref="C5:D5"/>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8222-0FEC-46C7-B809-6DC518D1F84A}">
  <sheetPr codeName="Sheet4"/>
  <dimension ref="A1:D14"/>
  <sheetViews>
    <sheetView workbookViewId="0">
      <selection sqref="A1:C1"/>
    </sheetView>
  </sheetViews>
  <sheetFormatPr defaultColWidth="0" defaultRowHeight="12.75" zeroHeight="1" x14ac:dyDescent="0.2"/>
  <cols>
    <col min="1" max="1" width="15.5703125" customWidth="1"/>
    <col min="2" max="2" width="27.42578125" style="2" customWidth="1"/>
    <col min="3" max="3" width="26.28515625" customWidth="1"/>
    <col min="4" max="4" width="0" hidden="1" customWidth="1"/>
    <col min="5" max="16384" width="9.140625" hidden="1"/>
  </cols>
  <sheetData>
    <row r="1" spans="1:4" ht="6.75" customHeight="1" x14ac:dyDescent="0.2">
      <c r="A1" s="128" t="s">
        <v>70</v>
      </c>
      <c r="B1" s="128"/>
      <c r="C1" s="128"/>
      <c r="D1" s="11"/>
    </row>
    <row r="2" spans="1:4" ht="30" customHeight="1" x14ac:dyDescent="0.2">
      <c r="A2" s="127" t="s">
        <v>86</v>
      </c>
      <c r="B2" s="127"/>
      <c r="C2" s="127"/>
      <c r="D2" s="27"/>
    </row>
    <row r="3" spans="1:4" ht="153" customHeight="1" thickBot="1" x14ac:dyDescent="0.25">
      <c r="A3" s="150" t="s">
        <v>135</v>
      </c>
      <c r="B3" s="150"/>
      <c r="C3" s="150"/>
      <c r="D3" s="28"/>
    </row>
    <row r="4" spans="1:4" s="2" customFormat="1" ht="28.5" customHeight="1" thickTop="1" thickBot="1" x14ac:dyDescent="0.25">
      <c r="A4" s="155" t="s">
        <v>87</v>
      </c>
      <c r="B4" s="156"/>
      <c r="C4" s="157"/>
      <c r="D4" s="28"/>
    </row>
    <row r="5" spans="1:4" ht="34.5" customHeight="1" thickBot="1" x14ac:dyDescent="0.25">
      <c r="A5" s="23" t="s">
        <v>9</v>
      </c>
      <c r="B5" s="76" t="s">
        <v>68</v>
      </c>
      <c r="C5" s="21" t="s">
        <v>67</v>
      </c>
    </row>
    <row r="6" spans="1:4" ht="14.25" x14ac:dyDescent="0.2">
      <c r="A6" s="57" t="s">
        <v>23</v>
      </c>
      <c r="B6" s="34">
        <f>(ROUND(MAERT!$C$7,2))+(ROUND(MAERT!$C$10,2))+(ROUND(MAERT!$C$17,2))+(ROUND(MAERT!$C$20,2))+(ROUND(MAERT!$C$23,2))</f>
        <v>177.06</v>
      </c>
      <c r="C6" s="34">
        <f>(ROUND(MAERT!$D$7,2))+(ROUND(MAERT!$D$10,2))+(ROUND(MAERT!$D$17,2))+(ROUND(MAERT!$D$20,2))+(ROUND(MAERT!$D$23,2))</f>
        <v>171.63</v>
      </c>
    </row>
    <row r="7" spans="1:4" ht="14.25" x14ac:dyDescent="0.2">
      <c r="A7" s="57" t="s">
        <v>15</v>
      </c>
      <c r="B7" s="34">
        <f>(ROUND(MAERT!$C$8,2))+(ROUND(MAERT!$C$11,2))+(ROUND(MAERT!$C$18,2))+(ROUND(MAERT!$C$21,2))+(ROUND(MAERT!$C$24,2))</f>
        <v>64.45</v>
      </c>
      <c r="C7" s="34">
        <f>(ROUND(MAERT!$D$8,2))+(ROUND(MAERT!$D$11,2))+(ROUND(MAERT!$D$18,2))+(ROUND(MAERT!$D$21,2))+(ROUND(MAERT!$D$24,2))</f>
        <v>62.540000000000006</v>
      </c>
    </row>
    <row r="8" spans="1:4" ht="14.25" x14ac:dyDescent="0.2">
      <c r="A8" s="57" t="s">
        <v>22</v>
      </c>
      <c r="B8" s="34">
        <f>(ROUND(MAERT!$C$9,2))+(ROUND(MAERT!$C$12,2))+(ROUND(MAERT!$C$19,2))+(ROUND(MAERT!$C$22,2))+(ROUND(MAERT!$C$25,2))</f>
        <v>4.41</v>
      </c>
      <c r="C8" s="34">
        <f>(ROUND(MAERT!$D$9,2))+(ROUND(MAERT!$D$12,2))+(ROUND(MAERT!$D$19,2))+(ROUND(MAERT!$D$22,2))+(ROUND(MAERT!$D$25,2))</f>
        <v>4.3900000000000006</v>
      </c>
    </row>
    <row r="9" spans="1:4" ht="14.25" x14ac:dyDescent="0.2">
      <c r="A9" s="57" t="s">
        <v>16</v>
      </c>
      <c r="B9" s="34">
        <f>MAERT!$C$13</f>
        <v>0.17049999999999998</v>
      </c>
      <c r="C9" s="34">
        <f>MAERT!$D$13</f>
        <v>0.24775781249999998</v>
      </c>
    </row>
    <row r="10" spans="1:4" ht="14.25" x14ac:dyDescent="0.2">
      <c r="A10" s="57" t="s">
        <v>17</v>
      </c>
      <c r="B10" s="34">
        <f>MAERT!$C$14</f>
        <v>3.1</v>
      </c>
      <c r="C10" s="34">
        <f>MAERT!$D$14</f>
        <v>4.5046875000000002</v>
      </c>
    </row>
    <row r="11" spans="1:4" ht="14.25" x14ac:dyDescent="0.2">
      <c r="A11" s="57" t="s">
        <v>18</v>
      </c>
      <c r="B11" s="34">
        <f>MAERT!$C$15</f>
        <v>2.6039999999999996</v>
      </c>
      <c r="C11" s="34">
        <f>MAERT!$D$15</f>
        <v>3.7839374999999995</v>
      </c>
    </row>
    <row r="12" spans="1:4" ht="15" thickBot="1" x14ac:dyDescent="0.25">
      <c r="A12" s="57" t="s">
        <v>19</v>
      </c>
      <c r="B12" s="34">
        <f>MAERT!$C$16</f>
        <v>1.8599999999999998E-2</v>
      </c>
      <c r="C12" s="34">
        <f>MAERT!$D$16</f>
        <v>2.7028125E-2</v>
      </c>
    </row>
    <row r="13" spans="1:4" ht="15" thickTop="1" x14ac:dyDescent="0.2">
      <c r="A13" s="68" t="s">
        <v>108</v>
      </c>
      <c r="C13" s="123">
        <f>SUM(C7:C12)-C8</f>
        <v>71.103410937500001</v>
      </c>
    </row>
    <row r="14" spans="1:4" hidden="1" x14ac:dyDescent="0.2"/>
  </sheetData>
  <sheetProtection algorithmName="SHA-512" hashValue="ARRK4SI6S8Us7hAgg15UctHmJeyUOAi5BE8KidU4iTRkwEwaduz+LfiI3PX1rE6khK6ZzSRbiWBGscbx8OSslA==" saltValue="4LxcKN6FXXgTgJC/7FJGeQ==" spinCount="100000" sheet="1" objects="1" scenarios="1"/>
  <mergeCells count="4">
    <mergeCell ref="A4:C4"/>
    <mergeCell ref="A1:C1"/>
    <mergeCell ref="A2:C2"/>
    <mergeCell ref="A3:C3"/>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79D9-1989-49A8-A416-417CE086320A}">
  <sheetPr codeName="Sheet5">
    <pageSetUpPr fitToPage="1"/>
  </sheetPr>
  <dimension ref="A1:L9"/>
  <sheetViews>
    <sheetView workbookViewId="0">
      <selection sqref="A1:L1"/>
    </sheetView>
  </sheetViews>
  <sheetFormatPr defaultColWidth="0" defaultRowHeight="14.25" zeroHeight="1" x14ac:dyDescent="0.2"/>
  <cols>
    <col min="1" max="1" width="16" style="7" customWidth="1"/>
    <col min="2" max="2" width="18.140625" style="7" customWidth="1"/>
    <col min="3" max="3" width="15.5703125" style="7" customWidth="1"/>
    <col min="4" max="4" width="18.5703125" style="7" customWidth="1"/>
    <col min="5" max="5" width="24" style="7" customWidth="1"/>
    <col min="6" max="6" width="18" style="7" customWidth="1"/>
    <col min="7" max="7" width="19.7109375" style="7" customWidth="1"/>
    <col min="8" max="8" width="19" style="7" customWidth="1"/>
    <col min="9" max="9" width="18.140625" style="7" customWidth="1"/>
    <col min="10" max="10" width="20.28515625" style="7" customWidth="1"/>
    <col min="11" max="11" width="18.7109375" style="7" customWidth="1"/>
    <col min="12" max="12" width="20" style="7" customWidth="1"/>
    <col min="13" max="16384" width="18.42578125" style="7" hidden="1"/>
  </cols>
  <sheetData>
    <row r="1" spans="1:12" ht="6" customHeight="1" x14ac:dyDescent="0.2">
      <c r="A1" s="128" t="s">
        <v>70</v>
      </c>
      <c r="B1" s="128"/>
      <c r="C1" s="128"/>
      <c r="D1" s="128"/>
      <c r="E1" s="128"/>
      <c r="F1" s="128"/>
      <c r="G1" s="128"/>
      <c r="H1" s="128"/>
      <c r="I1" s="128"/>
      <c r="J1" s="128"/>
      <c r="K1" s="128"/>
      <c r="L1" s="128"/>
    </row>
    <row r="2" spans="1:12" ht="30" customHeight="1" x14ac:dyDescent="0.2">
      <c r="A2" s="127" t="s">
        <v>131</v>
      </c>
      <c r="B2" s="127"/>
      <c r="C2" s="127"/>
      <c r="D2" s="127"/>
      <c r="E2" s="127"/>
      <c r="F2" s="127"/>
      <c r="G2" s="127"/>
      <c r="H2" s="127"/>
      <c r="I2" s="127"/>
      <c r="J2" s="127"/>
      <c r="K2" s="127"/>
      <c r="L2" s="127"/>
    </row>
    <row r="3" spans="1:12" s="5" customFormat="1" ht="145.5" customHeight="1" x14ac:dyDescent="0.2">
      <c r="A3" s="160" t="s">
        <v>130</v>
      </c>
      <c r="B3" s="160"/>
      <c r="C3" s="160"/>
      <c r="D3" s="160"/>
      <c r="E3" s="160"/>
      <c r="F3" s="160"/>
      <c r="G3" s="160"/>
      <c r="H3" s="160"/>
      <c r="I3" s="160"/>
      <c r="J3" s="160"/>
      <c r="K3" s="160"/>
      <c r="L3" s="160"/>
    </row>
    <row r="4" spans="1:12" s="5" customFormat="1" ht="27" customHeight="1" thickBot="1" x14ac:dyDescent="0.25">
      <c r="A4" s="161" t="s">
        <v>140</v>
      </c>
      <c r="B4" s="161"/>
      <c r="C4" s="161"/>
      <c r="D4" s="161"/>
      <c r="E4" s="161"/>
      <c r="F4" s="161"/>
      <c r="G4" s="161"/>
      <c r="H4" s="161"/>
      <c r="I4" s="161"/>
      <c r="J4" s="161"/>
      <c r="K4" s="161"/>
      <c r="L4" s="161"/>
    </row>
    <row r="5" spans="1:12" ht="23.25" customHeight="1" thickTop="1" x14ac:dyDescent="0.2">
      <c r="A5" s="158" t="s">
        <v>131</v>
      </c>
      <c r="B5" s="158"/>
      <c r="C5" s="158"/>
      <c r="D5" s="158"/>
      <c r="E5" s="158"/>
      <c r="F5" s="158"/>
      <c r="G5" s="158"/>
      <c r="H5" s="158"/>
      <c r="I5" s="158"/>
      <c r="J5" s="158"/>
      <c r="K5" s="158"/>
      <c r="L5" s="159"/>
    </row>
    <row r="6" spans="1:12" s="18" customFormat="1" ht="66" customHeight="1" thickBot="1" x14ac:dyDescent="0.25">
      <c r="A6" s="23" t="s">
        <v>58</v>
      </c>
      <c r="B6" s="76" t="s">
        <v>74</v>
      </c>
      <c r="C6" s="76" t="s">
        <v>79</v>
      </c>
      <c r="D6" s="76" t="s">
        <v>80</v>
      </c>
      <c r="E6" s="76" t="s">
        <v>75</v>
      </c>
      <c r="F6" s="76" t="s">
        <v>81</v>
      </c>
      <c r="G6" s="76" t="s">
        <v>76</v>
      </c>
      <c r="H6" s="76" t="s">
        <v>82</v>
      </c>
      <c r="I6" s="76" t="s">
        <v>77</v>
      </c>
      <c r="J6" s="76" t="s">
        <v>83</v>
      </c>
      <c r="K6" s="76" t="s">
        <v>78</v>
      </c>
      <c r="L6" s="21" t="s">
        <v>84</v>
      </c>
    </row>
    <row r="7" spans="1:12" s="18" customFormat="1" ht="33.75" customHeight="1" x14ac:dyDescent="0.2">
      <c r="A7" s="92">
        <f>'Cotton Gin Input Data'!$G$5</f>
        <v>80</v>
      </c>
      <c r="B7" s="93">
        <v>1750</v>
      </c>
      <c r="C7" s="93">
        <f>+A7*B7</f>
        <v>140000</v>
      </c>
      <c r="D7" s="94" t="str">
        <f>IF(C7&gt;40000,"Above","Below")</f>
        <v>Above</v>
      </c>
      <c r="E7" s="94" t="str">
        <f>IF(C7&gt;40000,"25.4  *  ( P ^ 0.287 )","3.12  *  ( P ^ 0.985 )")</f>
        <v>25.4  *  ( P ^ 0.287 )</v>
      </c>
      <c r="F7" s="95">
        <f>IF(C7&gt;40000,(25.4*((C7/2000)^0.287)),(3.12*((C7/2000)^0.985)))</f>
        <v>85.975924423157537</v>
      </c>
      <c r="G7" s="95">
        <f>'System Calculations'!$E$7</f>
        <v>37.04</v>
      </c>
      <c r="H7" s="94" t="str">
        <f>IF('System Calculations'!$E$7&lt;F7,"OK","Not OK - exceeds PWA")</f>
        <v>OK</v>
      </c>
      <c r="I7" s="95">
        <f>'System Calculations'!$E$8</f>
        <v>60.16</v>
      </c>
      <c r="J7" s="94" t="str">
        <f>IF('System Calculations'!$E$8&lt;F7,"OK","Not OK - exceeds PWA")</f>
        <v>OK</v>
      </c>
      <c r="K7" s="95">
        <f>'System Calculations'!$E$9</f>
        <v>67.616400000000013</v>
      </c>
      <c r="L7" s="96" t="str">
        <f>IF('System Calculations'!$E$9&lt;F7,"OK","Not OK - exceeds PWA")</f>
        <v>OK</v>
      </c>
    </row>
    <row r="8" spans="1:12" x14ac:dyDescent="0.2">
      <c r="A8" s="54" t="s">
        <v>108</v>
      </c>
    </row>
    <row r="9" spans="1:12" hidden="1" x14ac:dyDescent="0.2"/>
  </sheetData>
  <sheetProtection algorithmName="SHA-512" hashValue="YjlCuhnIAmvo0aTNWM7NHm71vwePAKjyEEdC0RhOg6LLd4S5Upmo+C32ln59hQQJr2oTpugBHLJoc8FeBzHGXg==" saltValue="E5AM+Rr5QcD5jb+ZHUPCpg==" spinCount="100000" sheet="1" objects="1" scenarios="1"/>
  <mergeCells count="5">
    <mergeCell ref="A5:L5"/>
    <mergeCell ref="A2:L2"/>
    <mergeCell ref="A3:L3"/>
    <mergeCell ref="A1:L1"/>
    <mergeCell ref="A4:L4"/>
  </mergeCells>
  <hyperlinks>
    <hyperlink ref="A4:L4" r:id="rId1" tooltip="Link to 30 TAC Chapter §111.171" display="http://texreg.sos.state.tx.us/public/readtac$ext.TacPage?sl=R&amp;app=9&amp;p_dir=&amp;p_rloc=&amp;p_tloc=&amp;p_ploc=&amp;pg=1&amp;p_tac=&amp;ti=30&amp;pt=1&amp;ch=111&amp;rl=171" xr:uid="{51CE4958-19A0-4937-93D6-CBCE48BCF88A}"/>
  </hyperlinks>
  <pageMargins left="0.7" right="0.7" top="0.75" bottom="0.75" header="0.3" footer="0.3"/>
  <pageSetup scale="55" fitToHeight="0" orientation="landscap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D6E8-2612-47FE-B48D-9540AA91A3CB}">
  <sheetPr codeName="Sheet6">
    <pageSetUpPr fitToPage="1"/>
  </sheetPr>
  <dimension ref="A1:XFC11"/>
  <sheetViews>
    <sheetView workbookViewId="0">
      <selection sqref="A1:L1"/>
    </sheetView>
  </sheetViews>
  <sheetFormatPr defaultColWidth="0" defaultRowHeight="14.25" zeroHeight="1" x14ac:dyDescent="0.2"/>
  <cols>
    <col min="1" max="1" width="15.7109375" style="6" customWidth="1"/>
    <col min="2" max="2" width="20" style="6" customWidth="1"/>
    <col min="3" max="3" width="19.85546875" style="6" customWidth="1"/>
    <col min="4" max="4" width="17" style="6" customWidth="1"/>
    <col min="5" max="5" width="10.28515625" style="6" customWidth="1"/>
    <col min="6" max="6" width="9.140625" style="6" customWidth="1"/>
    <col min="7" max="7" width="17.140625" style="6" customWidth="1"/>
    <col min="8" max="8" width="11.42578125" style="6" customWidth="1"/>
    <col min="9" max="9" width="9.140625" style="6" customWidth="1"/>
    <col min="10" max="10" width="16" style="6" customWidth="1"/>
    <col min="11" max="11" width="11.42578125" style="6" customWidth="1"/>
    <col min="12" max="12" width="9.140625" style="6" customWidth="1"/>
    <col min="13" max="16383" width="9.140625" style="6" hidden="1"/>
    <col min="16384" max="16384" width="0.7109375" style="6" hidden="1" customWidth="1"/>
  </cols>
  <sheetData>
    <row r="1" spans="1:12" s="7" customFormat="1" ht="6" customHeight="1" x14ac:dyDescent="0.2">
      <c r="A1" s="128" t="s">
        <v>70</v>
      </c>
      <c r="B1" s="128"/>
      <c r="C1" s="128"/>
      <c r="D1" s="128"/>
      <c r="E1" s="128"/>
      <c r="F1" s="128"/>
      <c r="G1" s="128"/>
      <c r="H1" s="128"/>
      <c r="I1" s="128"/>
      <c r="J1" s="128"/>
      <c r="K1" s="128"/>
      <c r="L1" s="128"/>
    </row>
    <row r="2" spans="1:12" s="7" customFormat="1" ht="30" customHeight="1" x14ac:dyDescent="0.2">
      <c r="A2" s="127" t="s">
        <v>62</v>
      </c>
      <c r="B2" s="127"/>
      <c r="C2" s="127"/>
      <c r="D2" s="127"/>
      <c r="E2" s="127"/>
      <c r="F2" s="127"/>
      <c r="G2" s="127"/>
      <c r="H2" s="127"/>
      <c r="I2" s="127"/>
      <c r="J2" s="127"/>
      <c r="K2" s="127"/>
      <c r="L2" s="127"/>
    </row>
    <row r="3" spans="1:12" ht="78" customHeight="1" thickBot="1" x14ac:dyDescent="0.25">
      <c r="A3" s="160" t="s">
        <v>101</v>
      </c>
      <c r="B3" s="160"/>
      <c r="C3" s="160"/>
      <c r="D3" s="160"/>
      <c r="E3" s="160"/>
      <c r="F3" s="160"/>
      <c r="G3" s="160"/>
      <c r="H3" s="160"/>
      <c r="I3" s="160"/>
      <c r="J3" s="160"/>
      <c r="K3" s="160"/>
      <c r="L3" s="160"/>
    </row>
    <row r="4" spans="1:12" s="7" customFormat="1" ht="18.75" customHeight="1" thickTop="1" thickBot="1" x14ac:dyDescent="0.25">
      <c r="A4" s="162" t="s">
        <v>62</v>
      </c>
      <c r="B4" s="162"/>
      <c r="C4" s="162"/>
      <c r="D4" s="162"/>
      <c r="E4" s="162"/>
      <c r="F4" s="162"/>
      <c r="G4" s="162"/>
      <c r="H4" s="162"/>
      <c r="I4" s="162"/>
      <c r="J4" s="162"/>
      <c r="K4" s="162"/>
      <c r="L4" s="163"/>
    </row>
    <row r="5" spans="1:12" ht="15.75" thickTop="1" x14ac:dyDescent="0.25">
      <c r="A5" s="77" t="s">
        <v>56</v>
      </c>
      <c r="B5" s="77" t="s">
        <v>58</v>
      </c>
      <c r="C5" s="78" t="s">
        <v>59</v>
      </c>
      <c r="D5" s="75" t="s">
        <v>23</v>
      </c>
      <c r="E5" s="59" t="s">
        <v>23</v>
      </c>
      <c r="F5" s="79" t="s">
        <v>23</v>
      </c>
      <c r="G5" s="80" t="s">
        <v>15</v>
      </c>
      <c r="H5" s="59" t="s">
        <v>15</v>
      </c>
      <c r="I5" s="79" t="s">
        <v>15</v>
      </c>
      <c r="J5" s="75" t="s">
        <v>22</v>
      </c>
      <c r="K5" s="59" t="s">
        <v>22</v>
      </c>
      <c r="L5" s="81" t="s">
        <v>22</v>
      </c>
    </row>
    <row r="6" spans="1:12" s="18" customFormat="1" ht="44.25" customHeight="1" thickBot="1" x14ac:dyDescent="0.25">
      <c r="A6" s="22" t="s">
        <v>56</v>
      </c>
      <c r="B6" s="22" t="s">
        <v>58</v>
      </c>
      <c r="C6" s="22" t="s">
        <v>59</v>
      </c>
      <c r="D6" s="21" t="s">
        <v>57</v>
      </c>
      <c r="E6" s="22" t="s">
        <v>60</v>
      </c>
      <c r="F6" s="23" t="s">
        <v>61</v>
      </c>
      <c r="G6" s="21" t="s">
        <v>114</v>
      </c>
      <c r="H6" s="22" t="s">
        <v>109</v>
      </c>
      <c r="I6" s="23" t="s">
        <v>115</v>
      </c>
      <c r="J6" s="22" t="s">
        <v>116</v>
      </c>
      <c r="K6" s="22" t="s">
        <v>117</v>
      </c>
      <c r="L6" s="22" t="s">
        <v>110</v>
      </c>
    </row>
    <row r="7" spans="1:12" x14ac:dyDescent="0.2">
      <c r="A7" s="71" t="s">
        <v>127</v>
      </c>
      <c r="B7" s="48">
        <f>+'Cotton Gin Input Data'!$G$5</f>
        <v>80</v>
      </c>
      <c r="C7" s="49">
        <f>+'Cotton Gin Input Data'!$G$6</f>
        <v>155000</v>
      </c>
      <c r="D7" s="106">
        <f>+'Cotton Gin Input Data'!$G$15</f>
        <v>0.46300000000000002</v>
      </c>
      <c r="E7" s="103">
        <f>+B7*D7</f>
        <v>37.04</v>
      </c>
      <c r="F7" s="104">
        <f>+C7*D7/2000</f>
        <v>35.8825</v>
      </c>
      <c r="G7" s="106">
        <f>+'PM10 Calculations'!$G$9</f>
        <v>0.215</v>
      </c>
      <c r="H7" s="103">
        <f>+B7*G7</f>
        <v>17.2</v>
      </c>
      <c r="I7" s="104">
        <f>+C7*G7/2000</f>
        <v>16.662500000000001</v>
      </c>
      <c r="J7" s="108">
        <f>+'PM2.5 Calculations'!$G$9</f>
        <v>1.3100000000000001E-2</v>
      </c>
      <c r="K7" s="103">
        <f>+B7*J7</f>
        <v>1.048</v>
      </c>
      <c r="L7" s="103">
        <f>+C7*J7/2000</f>
        <v>1.01525</v>
      </c>
    </row>
    <row r="8" spans="1:12" x14ac:dyDescent="0.2">
      <c r="A8" s="57" t="s">
        <v>128</v>
      </c>
      <c r="B8" s="19">
        <f>+'Cotton Gin Input Data'!$G$5</f>
        <v>80</v>
      </c>
      <c r="C8" s="20">
        <f>+'Cotton Gin Input Data'!$G$6</f>
        <v>155000</v>
      </c>
      <c r="D8" s="107">
        <f>+'Cotton Gin Input Data'!$G$20</f>
        <v>0.752</v>
      </c>
      <c r="E8" s="34">
        <f t="shared" ref="E8:E9" si="0">+B8*D8</f>
        <v>60.16</v>
      </c>
      <c r="F8" s="105">
        <f t="shared" ref="F8:F9" si="1">+C8*D8/2000</f>
        <v>58.28</v>
      </c>
      <c r="G8" s="107">
        <f>+'PM10 Calculations'!$G$14</f>
        <v>0.30399999999999999</v>
      </c>
      <c r="H8" s="34">
        <f t="shared" ref="H8:H9" si="2">+B8*G8</f>
        <v>24.32</v>
      </c>
      <c r="I8" s="105">
        <f t="shared" ref="I8:I9" si="3">+C8*G8/2000</f>
        <v>23.56</v>
      </c>
      <c r="J8" s="51">
        <f>+'PM2.5 Calculations'!$G$14</f>
        <v>2.1500000000000002E-2</v>
      </c>
      <c r="K8" s="34">
        <f t="shared" ref="K8:K9" si="4">+B8*J8</f>
        <v>1.7200000000000002</v>
      </c>
      <c r="L8" s="34">
        <f t="shared" ref="L8:L9" si="5">+C8*J8/2000</f>
        <v>1.6662500000000002</v>
      </c>
    </row>
    <row r="9" spans="1:12" x14ac:dyDescent="0.2">
      <c r="A9" s="57" t="s">
        <v>129</v>
      </c>
      <c r="B9" s="19">
        <f>+'Cotton Gin Input Data'!$G$5</f>
        <v>80</v>
      </c>
      <c r="C9" s="20">
        <f>+'Cotton Gin Input Data'!$G$6</f>
        <v>155000</v>
      </c>
      <c r="D9" s="107">
        <f>+'Cotton Gin Input Data'!$G$28</f>
        <v>0.8452050000000001</v>
      </c>
      <c r="E9" s="34">
        <f t="shared" si="0"/>
        <v>67.616400000000013</v>
      </c>
      <c r="F9" s="105">
        <f t="shared" si="1"/>
        <v>65.503387500000002</v>
      </c>
      <c r="G9" s="107">
        <f>+'PM10 Calculations'!$G$22</f>
        <v>0.22913999999999998</v>
      </c>
      <c r="H9" s="34">
        <f t="shared" si="2"/>
        <v>18.331199999999999</v>
      </c>
      <c r="I9" s="105">
        <f t="shared" si="3"/>
        <v>17.75835</v>
      </c>
      <c r="J9" s="51">
        <f>+'PM2.5 Calculations'!$G$22</f>
        <v>1.4057999999999998E-2</v>
      </c>
      <c r="K9" s="34">
        <f t="shared" si="4"/>
        <v>1.1246399999999999</v>
      </c>
      <c r="L9" s="34">
        <f t="shared" si="5"/>
        <v>1.0894949999999999</v>
      </c>
    </row>
    <row r="10" spans="1:12" x14ac:dyDescent="0.2">
      <c r="A10" s="54" t="s">
        <v>108</v>
      </c>
      <c r="B10" s="9"/>
      <c r="C10" s="16"/>
    </row>
    <row r="11" spans="1:12" hidden="1" x14ac:dyDescent="0.2"/>
  </sheetData>
  <sheetProtection algorithmName="SHA-512" hashValue="GVfoAJNCwBXYmrLNe8WRjLzhGUk3J1Em6tEeK9QXtPeEX/NMRQcmbSV7FtezJsKHSRx2UntA/lLWpZvADgAwlw==" saltValue="o+IjsrzrNqwrszWksJCjgA==" spinCount="100000" sheet="1" objects="1" scenarios="1"/>
  <mergeCells count="4">
    <mergeCell ref="A3:L3"/>
    <mergeCell ref="A1:L1"/>
    <mergeCell ref="A2:L2"/>
    <mergeCell ref="A4:L4"/>
  </mergeCells>
  <pageMargins left="0.7" right="0.7" top="0.75" bottom="0.75" header="0.3" footer="0.3"/>
  <pageSetup scale="75"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DF02-1F81-4DF2-8750-F26C4E8FC479}">
  <sheetPr codeName="Sheet7">
    <pageSetUpPr fitToPage="1"/>
  </sheetPr>
  <dimension ref="A1:L9"/>
  <sheetViews>
    <sheetView workbookViewId="0">
      <selection sqref="A1:L1"/>
    </sheetView>
  </sheetViews>
  <sheetFormatPr defaultColWidth="0" defaultRowHeight="14.25" zeroHeight="1" x14ac:dyDescent="0.2"/>
  <cols>
    <col min="1" max="1" width="15.7109375" style="6" customWidth="1"/>
    <col min="2" max="2" width="20.42578125" style="6" customWidth="1"/>
    <col min="3" max="3" width="21" style="6" customWidth="1"/>
    <col min="4" max="4" width="18.42578125" style="6" customWidth="1"/>
    <col min="5" max="5" width="10.28515625" style="6" customWidth="1"/>
    <col min="6" max="6" width="9.5703125" style="6" customWidth="1"/>
    <col min="7" max="7" width="17.5703125" style="6" customWidth="1"/>
    <col min="8" max="8" width="11.42578125" style="6" customWidth="1"/>
    <col min="9" max="9" width="9.140625" style="6" customWidth="1"/>
    <col min="10" max="10" width="18" style="6" customWidth="1"/>
    <col min="11" max="11" width="11.42578125" style="6" customWidth="1"/>
    <col min="12" max="12" width="8.5703125" style="6" customWidth="1"/>
    <col min="13" max="16384" width="15.7109375" style="6" hidden="1"/>
  </cols>
  <sheetData>
    <row r="1" spans="1:12" ht="6" customHeight="1" x14ac:dyDescent="0.2">
      <c r="A1" s="128" t="s">
        <v>70</v>
      </c>
      <c r="B1" s="128"/>
      <c r="C1" s="128"/>
      <c r="D1" s="128"/>
      <c r="E1" s="128"/>
      <c r="F1" s="128"/>
      <c r="G1" s="128"/>
      <c r="H1" s="128"/>
      <c r="I1" s="128"/>
      <c r="J1" s="128"/>
      <c r="K1" s="128"/>
      <c r="L1" s="128"/>
    </row>
    <row r="2" spans="1:12" s="7" customFormat="1" ht="30" customHeight="1" x14ac:dyDescent="0.2">
      <c r="A2" s="127" t="s">
        <v>71</v>
      </c>
      <c r="B2" s="127"/>
      <c r="C2" s="127"/>
      <c r="D2" s="127"/>
      <c r="E2" s="127"/>
      <c r="F2" s="127"/>
      <c r="G2" s="127"/>
      <c r="H2" s="127"/>
      <c r="I2" s="127"/>
      <c r="J2" s="127"/>
      <c r="K2" s="127"/>
      <c r="L2" s="127"/>
    </row>
    <row r="3" spans="1:12" ht="168.75" customHeight="1" thickBot="1" x14ac:dyDescent="0.25">
      <c r="A3" s="160" t="s">
        <v>134</v>
      </c>
      <c r="B3" s="160"/>
      <c r="C3" s="160"/>
      <c r="D3" s="160"/>
      <c r="E3" s="160"/>
      <c r="F3" s="160"/>
      <c r="G3" s="160"/>
      <c r="H3" s="160"/>
      <c r="I3" s="160"/>
      <c r="J3" s="160"/>
      <c r="K3" s="160"/>
      <c r="L3" s="160"/>
    </row>
    <row r="4" spans="1:12" s="162" customFormat="1" ht="18.75" customHeight="1" thickTop="1" thickBot="1" x14ac:dyDescent="0.25">
      <c r="A4" s="162" t="s">
        <v>71</v>
      </c>
    </row>
    <row r="5" spans="1:12" s="57" customFormat="1" ht="17.25" customHeight="1" thickTop="1" x14ac:dyDescent="0.25">
      <c r="A5" s="82" t="s">
        <v>56</v>
      </c>
      <c r="B5" s="82" t="s">
        <v>58</v>
      </c>
      <c r="C5" s="83" t="s">
        <v>59</v>
      </c>
      <c r="D5" s="72" t="s">
        <v>23</v>
      </c>
      <c r="E5" s="59" t="s">
        <v>23</v>
      </c>
      <c r="F5" s="79" t="s">
        <v>23</v>
      </c>
      <c r="G5" s="75" t="s">
        <v>15</v>
      </c>
      <c r="H5" s="59" t="s">
        <v>15</v>
      </c>
      <c r="I5" s="79" t="s">
        <v>15</v>
      </c>
      <c r="J5" s="75" t="s">
        <v>22</v>
      </c>
      <c r="K5" s="59" t="s">
        <v>22</v>
      </c>
      <c r="L5" s="84" t="s">
        <v>22</v>
      </c>
    </row>
    <row r="6" spans="1:12" s="91" customFormat="1" ht="43.5" customHeight="1" thickBot="1" x14ac:dyDescent="0.25">
      <c r="A6" s="25" t="s">
        <v>56</v>
      </c>
      <c r="B6" s="25" t="s">
        <v>58</v>
      </c>
      <c r="C6" s="25" t="s">
        <v>59</v>
      </c>
      <c r="D6" s="24" t="s">
        <v>57</v>
      </c>
      <c r="E6" s="25" t="s">
        <v>60</v>
      </c>
      <c r="F6" s="26" t="s">
        <v>61</v>
      </c>
      <c r="G6" s="24" t="s">
        <v>63</v>
      </c>
      <c r="H6" s="25" t="s">
        <v>109</v>
      </c>
      <c r="I6" s="26" t="s">
        <v>110</v>
      </c>
      <c r="J6" s="25" t="s">
        <v>111</v>
      </c>
      <c r="K6" s="25" t="s">
        <v>112</v>
      </c>
      <c r="L6" s="25" t="s">
        <v>113</v>
      </c>
    </row>
    <row r="7" spans="1:12" s="57" customFormat="1" x14ac:dyDescent="0.2">
      <c r="A7" s="57" t="s">
        <v>26</v>
      </c>
      <c r="B7" s="19">
        <f>+'Cotton Gin Input Data'!$G$5</f>
        <v>80</v>
      </c>
      <c r="C7" s="20">
        <f>+'Cotton Gin Input Data'!$G$6</f>
        <v>155000</v>
      </c>
      <c r="D7" s="85">
        <v>1000</v>
      </c>
      <c r="E7" s="86">
        <f>IF('Cotton Gin Input Data'!$G$7="YES",((((B7*1000)*0.3)/2000)*0.5),(((B7*1000)*0.3)/2000))</f>
        <v>12</v>
      </c>
      <c r="F7" s="87">
        <f>IF('Cotton Gin Input Data'!$G$7="YES",((((C7*1000)*0.3)/2000)/2000*0.5),((((C7*1000)*0.3)/2000)/2000))</f>
        <v>11.625</v>
      </c>
      <c r="G7" s="107">
        <f>+'PM10 Calculations'!G23</f>
        <v>0.36313861970046668</v>
      </c>
      <c r="H7" s="34">
        <f>+E7*G7</f>
        <v>4.3576634364056002</v>
      </c>
      <c r="I7" s="105">
        <f>+F7*G7</f>
        <v>4.2214864540179251</v>
      </c>
      <c r="J7" s="51">
        <f>+'PM2.5 Calculations'!G23</f>
        <v>2.3618038010780482E-2</v>
      </c>
      <c r="K7" s="34">
        <f>+E7*J7</f>
        <v>0.28341645612936578</v>
      </c>
      <c r="L7" s="34">
        <f>+F7*J7</f>
        <v>0.27455969187532309</v>
      </c>
    </row>
    <row r="8" spans="1:12" x14ac:dyDescent="0.2">
      <c r="A8" s="54" t="s">
        <v>108</v>
      </c>
    </row>
    <row r="9" spans="1:12" hidden="1" x14ac:dyDescent="0.2"/>
  </sheetData>
  <sheetProtection algorithmName="SHA-512" hashValue="9Q7Q74i5jMwXVF2svVOk0ThcQqKY4XxS1uq3hCfBzxFrKxDnLfjYXlheqqbcL/fUiAIxaBVL4k0upLWDXBpx7A==" saltValue="uQtJW0EWwaJ7a8+4G1th7g==" spinCount="100000" sheet="1" objects="1" scenarios="1"/>
  <mergeCells count="4">
    <mergeCell ref="A1:L1"/>
    <mergeCell ref="A3:L3"/>
    <mergeCell ref="A2:L2"/>
    <mergeCell ref="A4:XFD4"/>
  </mergeCells>
  <pageMargins left="0.7" right="0.7" top="0.75" bottom="0.75" header="0.3" footer="0.3"/>
  <pageSetup scale="7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CFBFE-8CA3-49A6-B36A-D1243B991AFD}">
  <sheetPr codeName="Sheet8">
    <pageSetUpPr fitToPage="1"/>
  </sheetPr>
  <dimension ref="A1:L14"/>
  <sheetViews>
    <sheetView workbookViewId="0">
      <selection sqref="A1:F1"/>
    </sheetView>
  </sheetViews>
  <sheetFormatPr defaultColWidth="0" defaultRowHeight="12.75" zeroHeight="1" x14ac:dyDescent="0.2"/>
  <cols>
    <col min="1" max="1" width="14.28515625" customWidth="1"/>
    <col min="2" max="2" width="21.5703125" customWidth="1"/>
    <col min="3" max="3" width="14.28515625" customWidth="1"/>
    <col min="4" max="4" width="19.28515625" customWidth="1"/>
    <col min="5" max="6" width="18.42578125" customWidth="1"/>
    <col min="7" max="12" width="0" hidden="1" customWidth="1"/>
    <col min="13" max="16384" width="14.28515625" hidden="1"/>
  </cols>
  <sheetData>
    <row r="1" spans="1:12" ht="5.25" customHeight="1" x14ac:dyDescent="0.2">
      <c r="A1" s="128" t="s">
        <v>70</v>
      </c>
      <c r="B1" s="128"/>
      <c r="C1" s="128"/>
      <c r="D1" s="128"/>
      <c r="E1" s="128"/>
      <c r="F1" s="128"/>
      <c r="G1" s="11"/>
      <c r="H1" s="11"/>
      <c r="I1" s="11"/>
      <c r="J1" s="11"/>
      <c r="K1" s="11"/>
      <c r="L1" s="11"/>
    </row>
    <row r="2" spans="1:12" s="2" customFormat="1" ht="30" customHeight="1" x14ac:dyDescent="0.2">
      <c r="A2" s="127" t="s">
        <v>55</v>
      </c>
      <c r="B2" s="127"/>
      <c r="C2" s="127"/>
      <c r="D2" s="127"/>
      <c r="E2" s="127"/>
      <c r="F2" s="127"/>
      <c r="G2" s="11"/>
      <c r="H2" s="11"/>
      <c r="I2" s="11"/>
      <c r="J2" s="11"/>
      <c r="K2" s="11"/>
      <c r="L2" s="11"/>
    </row>
    <row r="3" spans="1:12" ht="184.5" customHeight="1" thickBot="1" x14ac:dyDescent="0.25">
      <c r="A3" s="150" t="s">
        <v>89</v>
      </c>
      <c r="B3" s="150"/>
      <c r="C3" s="150"/>
      <c r="D3" s="150"/>
      <c r="E3" s="150"/>
      <c r="F3" s="150"/>
      <c r="G3" s="4"/>
      <c r="H3" s="4"/>
      <c r="I3" s="4"/>
      <c r="J3" s="4"/>
      <c r="K3" s="4"/>
      <c r="L3" s="4"/>
    </row>
    <row r="4" spans="1:12" ht="21.75" customHeight="1" thickTop="1" thickBot="1" x14ac:dyDescent="0.25">
      <c r="A4" s="164" t="str">
        <f>CHOOSE('Cotton Gin Input Data'!$G$8,"Natural Gas Emissions","Butane Emissions","Propane Emissions")</f>
        <v>Natural Gas Emissions</v>
      </c>
      <c r="B4" s="165"/>
      <c r="C4" s="165"/>
      <c r="D4" s="165"/>
      <c r="E4" s="165"/>
      <c r="F4" s="166"/>
    </row>
    <row r="5" spans="1:12" ht="31.5" customHeight="1" thickBot="1" x14ac:dyDescent="0.25">
      <c r="A5" s="26" t="s">
        <v>9</v>
      </c>
      <c r="B5" s="98" t="s">
        <v>64</v>
      </c>
      <c r="C5" s="98" t="s">
        <v>10</v>
      </c>
      <c r="D5" s="98" t="s">
        <v>65</v>
      </c>
      <c r="E5" s="98" t="s">
        <v>136</v>
      </c>
      <c r="F5" s="24" t="s">
        <v>137</v>
      </c>
    </row>
    <row r="6" spans="1:12" ht="14.25" x14ac:dyDescent="0.2">
      <c r="A6" s="63" t="s">
        <v>23</v>
      </c>
      <c r="B6" s="30">
        <f>CHOOSE('Cotton Gin Input Data'!$G$8,7.6,0.8,0.7)</f>
        <v>7.6</v>
      </c>
      <c r="C6" s="61">
        <f>CHOOSE('Cotton Gin Input Data'!$G$8,('Cotton Gin Input Data'!$G$9/1000),('Cotton Gin Input Data'!$G$9/97400),('Cotton Gin Input Data'!$G$9/90500))</f>
        <v>31000</v>
      </c>
      <c r="D6" s="61">
        <f>'Cotton Gin Input Data'!$G$6/'Cotton Gin Input Data'!$G$5*1.5</f>
        <v>2906.25</v>
      </c>
      <c r="E6" s="30">
        <f>IF('Cotton Gin Input Data'!$G$8=1,(B6/1000000*C6),(B6/1000*C6))</f>
        <v>0.23559999999999998</v>
      </c>
      <c r="F6" s="30">
        <f t="shared" ref="F6:F12" si="0">(D6*E6/2000)</f>
        <v>0.34235624999999997</v>
      </c>
    </row>
    <row r="7" spans="1:12" ht="14.25" x14ac:dyDescent="0.2">
      <c r="A7" s="63" t="s">
        <v>15</v>
      </c>
      <c r="B7" s="30">
        <f>CHOOSE('Cotton Gin Input Data'!$G$8,7.6,0.8,0.7)</f>
        <v>7.6</v>
      </c>
      <c r="C7" s="61">
        <f>CHOOSE('Cotton Gin Input Data'!$G$8,('Cotton Gin Input Data'!$G$9/1000),('Cotton Gin Input Data'!$G$9/97400),('Cotton Gin Input Data'!$G$9/90500))</f>
        <v>31000</v>
      </c>
      <c r="D7" s="61">
        <f>'Cotton Gin Input Data'!$G$6/'Cotton Gin Input Data'!$G$5*1.5</f>
        <v>2906.25</v>
      </c>
      <c r="E7" s="30">
        <f>IF('Cotton Gin Input Data'!$G$8=1,(B7/1000000*C7),(B7/1000*C7))</f>
        <v>0.23559999999999998</v>
      </c>
      <c r="F7" s="30">
        <f t="shared" si="0"/>
        <v>0.34235624999999997</v>
      </c>
    </row>
    <row r="8" spans="1:12" ht="14.25" x14ac:dyDescent="0.2">
      <c r="A8" s="63" t="s">
        <v>22</v>
      </c>
      <c r="B8" s="30">
        <f>CHOOSE('Cotton Gin Input Data'!$G$8,7.6,0.8,0.7)</f>
        <v>7.6</v>
      </c>
      <c r="C8" s="61">
        <f>CHOOSE('Cotton Gin Input Data'!$G$8,('Cotton Gin Input Data'!$G$9/1000),('Cotton Gin Input Data'!$G$9/97400),('Cotton Gin Input Data'!$G$9/90500))</f>
        <v>31000</v>
      </c>
      <c r="D8" s="61">
        <f>'Cotton Gin Input Data'!$G$6/'Cotton Gin Input Data'!$G$5*1.5</f>
        <v>2906.25</v>
      </c>
      <c r="E8" s="30">
        <f>IF('Cotton Gin Input Data'!$G$8=1,(B8/1000000*C8),(B8/1000*C8))</f>
        <v>0.23559999999999998</v>
      </c>
      <c r="F8" s="30">
        <f t="shared" si="0"/>
        <v>0.34235624999999997</v>
      </c>
    </row>
    <row r="9" spans="1:12" ht="14.25" x14ac:dyDescent="0.2">
      <c r="A9" s="63" t="s">
        <v>16</v>
      </c>
      <c r="B9" s="30">
        <f>CHOOSE('Cotton Gin Input Data'!$G$8,5.5,1.1,1)</f>
        <v>5.5</v>
      </c>
      <c r="C9" s="61">
        <f>CHOOSE('Cotton Gin Input Data'!$G$8,('Cotton Gin Input Data'!$G$9/1000),('Cotton Gin Input Data'!$G$9/97400),('Cotton Gin Input Data'!$G$9/90500))</f>
        <v>31000</v>
      </c>
      <c r="D9" s="61">
        <f>'Cotton Gin Input Data'!$G$6/'Cotton Gin Input Data'!$G$5*1.5</f>
        <v>2906.25</v>
      </c>
      <c r="E9" s="30">
        <f>IF('Cotton Gin Input Data'!$G$8=1,(B9/1000000*C9),(B9/1000*C9))</f>
        <v>0.17049999999999998</v>
      </c>
      <c r="F9" s="30">
        <f t="shared" si="0"/>
        <v>0.24775781249999998</v>
      </c>
    </row>
    <row r="10" spans="1:12" ht="14.25" x14ac:dyDescent="0.2">
      <c r="A10" s="63" t="s">
        <v>17</v>
      </c>
      <c r="B10" s="30">
        <f>CHOOSE('Cotton Gin Input Data'!$G$8,100,15,13)</f>
        <v>100</v>
      </c>
      <c r="C10" s="61">
        <f>CHOOSE('Cotton Gin Input Data'!$G$8,('Cotton Gin Input Data'!$G$9/1000),('Cotton Gin Input Data'!$G$9/97400),('Cotton Gin Input Data'!$G$9/90500))</f>
        <v>31000</v>
      </c>
      <c r="D10" s="61">
        <f>'Cotton Gin Input Data'!$G$6/'Cotton Gin Input Data'!$G$5*1.5</f>
        <v>2906.25</v>
      </c>
      <c r="E10" s="30">
        <f>IF('Cotton Gin Input Data'!$G$8=1,(B10/1000000*C10),(B10/1000*C10))</f>
        <v>3.1</v>
      </c>
      <c r="F10" s="30">
        <f t="shared" si="0"/>
        <v>4.5046875000000002</v>
      </c>
    </row>
    <row r="11" spans="1:12" ht="14.25" x14ac:dyDescent="0.2">
      <c r="A11" s="63" t="s">
        <v>18</v>
      </c>
      <c r="B11" s="30">
        <f>CHOOSE('Cotton Gin Input Data'!$G$8,84,8.4,7.5)</f>
        <v>84</v>
      </c>
      <c r="C11" s="61">
        <f>CHOOSE('Cotton Gin Input Data'!$G$8,('Cotton Gin Input Data'!$G$9/1000),('Cotton Gin Input Data'!$G$9/97400),('Cotton Gin Input Data'!$G$9/90500))</f>
        <v>31000</v>
      </c>
      <c r="D11" s="61">
        <f>'Cotton Gin Input Data'!$G$6/'Cotton Gin Input Data'!$G$5*1.5</f>
        <v>2906.25</v>
      </c>
      <c r="E11" s="30">
        <f>IF('Cotton Gin Input Data'!$G$8=1,(B11/1000000*C11),(B11/1000*C11))</f>
        <v>2.6039999999999996</v>
      </c>
      <c r="F11" s="30">
        <f t="shared" si="0"/>
        <v>3.7839374999999995</v>
      </c>
    </row>
    <row r="12" spans="1:12" ht="15" thickBot="1" x14ac:dyDescent="0.25">
      <c r="A12" s="63" t="s">
        <v>19</v>
      </c>
      <c r="B12" s="30">
        <f>CHOOSE('Cotton Gin Input Data'!$G$8,0.6,0.18,0.2)</f>
        <v>0.6</v>
      </c>
      <c r="C12" s="61">
        <f>CHOOSE('Cotton Gin Input Data'!$G$8,('Cotton Gin Input Data'!$G$9/1000),('Cotton Gin Input Data'!$G$9/97400),('Cotton Gin Input Data'!$G$9/90500))</f>
        <v>31000</v>
      </c>
      <c r="D12" s="61">
        <f>'Cotton Gin Input Data'!$G$6/'Cotton Gin Input Data'!$G$5*1.5</f>
        <v>2906.25</v>
      </c>
      <c r="E12" s="30">
        <f>IF('Cotton Gin Input Data'!$G$8=1,(B12/1000000*C12),(B12/1000*C12))</f>
        <v>1.8599999999999998E-2</v>
      </c>
      <c r="F12" s="30">
        <f t="shared" si="0"/>
        <v>2.7028125E-2</v>
      </c>
    </row>
    <row r="13" spans="1:12" ht="15" thickTop="1" x14ac:dyDescent="0.2">
      <c r="A13" s="69" t="s">
        <v>108</v>
      </c>
    </row>
    <row r="14" spans="1:12" hidden="1" x14ac:dyDescent="0.2"/>
  </sheetData>
  <sheetProtection algorithmName="SHA-512" hashValue="gKAICcabq046fEqcoRB/R8ElCgsJmPUTeCgOw7ZYplZt4OFqtlzBNAdrKTnDEXeC3AJ1hisUTj31J9CZzRZ78g==" saltValue="zngZcn6fMB21Le3Q2MsyAg==" spinCount="100000" sheet="1" objects="1" scenarios="1"/>
  <mergeCells count="4">
    <mergeCell ref="A4:F4"/>
    <mergeCell ref="A1:F1"/>
    <mergeCell ref="A3:F3"/>
    <mergeCell ref="A2:F2"/>
  </mergeCells>
  <pageMargins left="0.7" right="0.7" top="0.75" bottom="0.75" header="0.3" footer="0.3"/>
  <pageSetup scale="86"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G28"/>
  <sheetViews>
    <sheetView zoomScaleNormal="100" workbookViewId="0">
      <selection sqref="A1:G1"/>
    </sheetView>
  </sheetViews>
  <sheetFormatPr defaultColWidth="0" defaultRowHeight="14.25" zeroHeight="1" x14ac:dyDescent="0.2"/>
  <cols>
    <col min="1" max="1" width="25.28515625" style="7" customWidth="1"/>
    <col min="2" max="2" width="20.5703125" style="7" customWidth="1"/>
    <col min="3" max="3" width="10.5703125" style="7" customWidth="1"/>
    <col min="4" max="4" width="19.42578125" style="7" customWidth="1"/>
    <col min="5" max="5" width="18.28515625" style="7" customWidth="1"/>
    <col min="6" max="7" width="14.7109375" style="7" customWidth="1"/>
    <col min="8" max="16384" width="9.140625" style="7" hidden="1"/>
  </cols>
  <sheetData>
    <row r="1" spans="1:7" ht="6.75" customHeight="1" x14ac:dyDescent="0.2">
      <c r="A1" s="128" t="s">
        <v>70</v>
      </c>
      <c r="B1" s="128"/>
      <c r="C1" s="128"/>
      <c r="D1" s="128"/>
      <c r="E1" s="128"/>
      <c r="F1" s="128"/>
      <c r="G1" s="128"/>
    </row>
    <row r="2" spans="1:7" ht="30" customHeight="1" x14ac:dyDescent="0.2">
      <c r="A2" s="127" t="s">
        <v>49</v>
      </c>
      <c r="B2" s="127"/>
      <c r="C2" s="127"/>
      <c r="D2" s="127"/>
      <c r="E2" s="127"/>
      <c r="F2" s="127"/>
      <c r="G2" s="127"/>
    </row>
    <row r="3" spans="1:7" ht="70.5" customHeight="1" thickBot="1" x14ac:dyDescent="0.25">
      <c r="A3" s="167" t="s">
        <v>103</v>
      </c>
      <c r="B3" s="167"/>
      <c r="C3" s="167"/>
      <c r="D3" s="167"/>
      <c r="E3" s="167"/>
      <c r="F3" s="167"/>
      <c r="G3" s="167"/>
    </row>
    <row r="4" spans="1:7" ht="16.5" customHeight="1" thickTop="1" x14ac:dyDescent="0.25">
      <c r="A4" s="168" t="s">
        <v>50</v>
      </c>
      <c r="B4" s="168"/>
      <c r="C4" s="168"/>
      <c r="D4" s="168"/>
      <c r="E4" s="168"/>
      <c r="F4" s="168"/>
      <c r="G4" s="169"/>
    </row>
    <row r="5" spans="1:7" ht="30" x14ac:dyDescent="0.2">
      <c r="A5" s="88" t="s">
        <v>0</v>
      </c>
      <c r="B5" s="12" t="s">
        <v>37</v>
      </c>
      <c r="C5" s="12" t="s">
        <v>38</v>
      </c>
      <c r="D5" s="12" t="s">
        <v>39</v>
      </c>
      <c r="E5" s="12" t="s">
        <v>40</v>
      </c>
      <c r="F5" s="12" t="s">
        <v>41</v>
      </c>
      <c r="G5" s="12" t="s">
        <v>123</v>
      </c>
    </row>
    <row r="6" spans="1:7" x14ac:dyDescent="0.2">
      <c r="A6" s="109" t="str">
        <f>'Cotton Gin Input Data'!$A$12</f>
        <v>1st dryer cleaner</v>
      </c>
      <c r="B6" s="109" t="s">
        <v>2</v>
      </c>
      <c r="C6" s="62">
        <v>0.159</v>
      </c>
      <c r="D6" s="13">
        <f>+'Cotton Gin Input Data'!D12</f>
        <v>1</v>
      </c>
      <c r="E6" s="14" t="str">
        <f>IF(D6&lt;1,"No Control",CHOOSE(D6,"Cyclones","Small Mesh","Series Cyclone","Plenum","Drum Filter","Flutter Filter","No Point"))</f>
        <v>Cyclones</v>
      </c>
      <c r="F6" s="15">
        <f>IF(D6=0,10,CHOOSE(D6,1,5,0.5,0.685,0.1,5,0))</f>
        <v>1</v>
      </c>
      <c r="G6" s="62">
        <f>C6*F6</f>
        <v>0.159</v>
      </c>
    </row>
    <row r="7" spans="1:7" x14ac:dyDescent="0.2">
      <c r="A7" s="109" t="str">
        <f>'Cotton Gin Input Data'!$A$13</f>
        <v>2nd dryer cleaner</v>
      </c>
      <c r="B7" s="109" t="s">
        <v>2</v>
      </c>
      <c r="C7" s="62">
        <v>5.6000000000000001E-2</v>
      </c>
      <c r="D7" s="13">
        <f>+'Cotton Gin Input Data'!D13</f>
        <v>1</v>
      </c>
      <c r="E7" s="14" t="str">
        <f>IF(D7&lt;1,"No Control",CHOOSE(D7,"Cyclones","Small Mesh","Series Cyclone","Plenum","Drum Filter","Flutter Filter","No Point"))</f>
        <v>Cyclones</v>
      </c>
      <c r="F7" s="15">
        <f>IF(D7=0,10,CHOOSE(D7,1,5,0.5,0.8882,0.1,5,0))</f>
        <v>1</v>
      </c>
      <c r="G7" s="62">
        <f>C7*F7</f>
        <v>5.6000000000000001E-2</v>
      </c>
    </row>
    <row r="8" spans="1:7" x14ac:dyDescent="0.2">
      <c r="A8" s="109" t="str">
        <f>'Cotton Gin Input Data'!$A$14</f>
        <v>3rd dryer cleaner</v>
      </c>
      <c r="B8" s="109" t="s">
        <v>2</v>
      </c>
      <c r="C8" s="62">
        <v>2.7E-2</v>
      </c>
      <c r="D8" s="13">
        <f>+'Cotton Gin Input Data'!D14</f>
        <v>7</v>
      </c>
      <c r="E8" s="14" t="str">
        <f>IF(D8&lt;1,"No Control",CHOOSE(D8,"Cyclones","Small Mesh","Series Cyclone","Plenum","Drum Filter","Flutter Filter","No Point"))</f>
        <v>No Point</v>
      </c>
      <c r="F8" s="15">
        <f>IF(D8=0,10,CHOOSE(D8,1,5,0.5,0.583,0.1,5,0))</f>
        <v>0</v>
      </c>
      <c r="G8" s="62">
        <f>C8*F8</f>
        <v>0</v>
      </c>
    </row>
    <row r="9" spans="1:7" ht="30" x14ac:dyDescent="0.2">
      <c r="A9" s="91" t="s">
        <v>31</v>
      </c>
      <c r="B9" s="100" t="s">
        <v>31</v>
      </c>
      <c r="C9" s="100"/>
      <c r="D9" s="100" t="s">
        <v>31</v>
      </c>
      <c r="E9" s="100" t="s">
        <v>31</v>
      </c>
      <c r="F9" s="100" t="s">
        <v>31</v>
      </c>
      <c r="G9" s="99">
        <f>SUM(G6:G8)</f>
        <v>0.215</v>
      </c>
    </row>
    <row r="10" spans="1:7" x14ac:dyDescent="0.2">
      <c r="A10" s="109" t="str">
        <f>'Cotton Gin Input Data'!$A$16</f>
        <v>Unloading fan</v>
      </c>
      <c r="B10" s="109" t="s">
        <v>2</v>
      </c>
      <c r="C10" s="62">
        <v>0.185</v>
      </c>
      <c r="D10" s="13">
        <f>+'Cotton Gin Input Data'!D16</f>
        <v>1</v>
      </c>
      <c r="E10" s="14" t="str">
        <f>IF(D10&lt;1,"No Control",CHOOSE(D10,"Cyclones","Small Mesh","Series Cyclone","Plenum","Drum Filter","Flutter Filter","No Point"))</f>
        <v>Cyclones</v>
      </c>
      <c r="F10" s="15">
        <f>IF(D10=0,10,CHOOSE(D10,1,5,0.5,0.625,0.1,5,0))</f>
        <v>1</v>
      </c>
      <c r="G10" s="62">
        <f>C10*F10</f>
        <v>0.185</v>
      </c>
    </row>
    <row r="11" spans="1:7" x14ac:dyDescent="0.2">
      <c r="A11" s="109" t="str">
        <f>'Cotton Gin Input Data'!$A$17</f>
        <v>Overflow</v>
      </c>
      <c r="B11" s="109" t="s">
        <v>2</v>
      </c>
      <c r="C11" s="62">
        <v>0.02</v>
      </c>
      <c r="D11" s="13">
        <f>+'Cotton Gin Input Data'!D17</f>
        <v>7</v>
      </c>
      <c r="E11" s="14" t="str">
        <f>IF(D11&lt;1,"No Control",CHOOSE(D11,"Cyclones","Small Mesh","Series Cyclone","Plenum","Drum Filter","Flutter Filter","No Point"))</f>
        <v>No Point</v>
      </c>
      <c r="F11" s="15">
        <f>IF(D11=0,10,CHOOSE(D11,1,5,0.5,0.231,0.1,5,0))</f>
        <v>0</v>
      </c>
      <c r="G11" s="62">
        <f>C11*F11</f>
        <v>0</v>
      </c>
    </row>
    <row r="12" spans="1:7" x14ac:dyDescent="0.2">
      <c r="A12" s="109" t="str">
        <f>'Cotton Gin Input Data'!$A$18</f>
        <v>Master Trash</v>
      </c>
      <c r="B12" s="109" t="s">
        <v>2</v>
      </c>
      <c r="C12" s="62">
        <v>0.106</v>
      </c>
      <c r="D12" s="13">
        <f>+'Cotton Gin Input Data'!D18</f>
        <v>1</v>
      </c>
      <c r="E12" s="14" t="str">
        <f>IF(D12&lt;1,"No Control",CHOOSE(D12,"Cyclones","Small Mesh","Series Cyclone","Plenum","Drum Filter","Flutter Filter","No Point"))</f>
        <v>Cyclones</v>
      </c>
      <c r="F12" s="15">
        <f>IF(D12=0,10,CHOOSE(D12,1,5,0.5,0.5536,0.1,5,0))</f>
        <v>1</v>
      </c>
      <c r="G12" s="62">
        <f>C12*F12</f>
        <v>0.106</v>
      </c>
    </row>
    <row r="13" spans="1:7" x14ac:dyDescent="0.2">
      <c r="A13" s="109" t="str">
        <f>'Cotton Gin Input Data'!$A$19</f>
        <v>Cyclone Robber</v>
      </c>
      <c r="B13" s="109" t="s">
        <v>2</v>
      </c>
      <c r="C13" s="62">
        <v>1.2999999999999999E-2</v>
      </c>
      <c r="D13" s="13">
        <f>+'Cotton Gin Input Data'!D19</f>
        <v>1</v>
      </c>
      <c r="E13" s="14" t="str">
        <f>IF(D13&lt;1,"No Control",CHOOSE(D13,"Cyclones","Small Mesh","Series Cyclone","Plenum","Drum Filter","Flutter Filter","No Point"))</f>
        <v>Cyclones</v>
      </c>
      <c r="F13" s="15">
        <f>IF(D13=0,10,CHOOSE(D13,1,5,0.5,0.5536,0.1,5,0))</f>
        <v>1</v>
      </c>
      <c r="G13" s="62">
        <f>C13*F13</f>
        <v>1.2999999999999999E-2</v>
      </c>
    </row>
    <row r="14" spans="1:7" ht="30" x14ac:dyDescent="0.2">
      <c r="A14" s="91" t="s">
        <v>32</v>
      </c>
      <c r="B14" s="100" t="s">
        <v>32</v>
      </c>
      <c r="C14" s="100"/>
      <c r="D14" s="100" t="s">
        <v>32</v>
      </c>
      <c r="E14" s="100" t="s">
        <v>32</v>
      </c>
      <c r="F14" s="100" t="s">
        <v>32</v>
      </c>
      <c r="G14" s="99">
        <f>SUM(G10:G13)</f>
        <v>0.30399999999999999</v>
      </c>
    </row>
    <row r="15" spans="1:7" x14ac:dyDescent="0.2">
      <c r="A15" s="109" t="str">
        <f>'Cotton Gin Input Data'!$A$21</f>
        <v>1st lint cleaner</v>
      </c>
      <c r="B15" s="109" t="s">
        <v>2</v>
      </c>
      <c r="C15" s="62">
        <v>6.0159999999999998E-2</v>
      </c>
      <c r="D15" s="13">
        <f>+'Cotton Gin Input Data'!D21</f>
        <v>3</v>
      </c>
      <c r="E15" s="14" t="str">
        <f t="shared" ref="E15:E21" si="0">IF(D15&lt;1,"No Control",CHOOSE(D15,"Cyclones","Small Mesh","Series Cyclone","Plenum","Drum Filter","Flutter Filter","No Point"))</f>
        <v>Series Cyclone</v>
      </c>
      <c r="F15" s="15">
        <f t="shared" ref="F15:F21" si="1">IF(D15=0,10,CHOOSE(D15,1,5,0.5,0.629,0.1,5,0))</f>
        <v>0.5</v>
      </c>
      <c r="G15" s="70">
        <f t="shared" ref="G15:G21" si="2">C15*F15</f>
        <v>3.0079999999999999E-2</v>
      </c>
    </row>
    <row r="16" spans="1:7" x14ac:dyDescent="0.2">
      <c r="A16" s="109" t="str">
        <f>'Cotton Gin Input Data'!$A$22</f>
        <v>2nd lint cleaner</v>
      </c>
      <c r="B16" s="109" t="s">
        <v>2</v>
      </c>
      <c r="C16" s="62">
        <v>1.941E-2</v>
      </c>
      <c r="D16" s="13">
        <f>+'Cotton Gin Input Data'!D22</f>
        <v>1</v>
      </c>
      <c r="E16" s="14" t="str">
        <f t="shared" si="0"/>
        <v>Cyclones</v>
      </c>
      <c r="F16" s="15">
        <f t="shared" si="1"/>
        <v>1</v>
      </c>
      <c r="G16" s="70">
        <f t="shared" si="2"/>
        <v>1.941E-2</v>
      </c>
    </row>
    <row r="17" spans="1:7" x14ac:dyDescent="0.2">
      <c r="A17" s="109" t="str">
        <f>'Cotton Gin Input Data'!$A$23</f>
        <v>Battery condenser</v>
      </c>
      <c r="B17" s="109" t="s">
        <v>2</v>
      </c>
      <c r="C17" s="62">
        <v>1.7000000000000001E-2</v>
      </c>
      <c r="D17" s="13">
        <f>+'Cotton Gin Input Data'!D23</f>
        <v>2</v>
      </c>
      <c r="E17" s="14" t="str">
        <f t="shared" si="0"/>
        <v>Small Mesh</v>
      </c>
      <c r="F17" s="15">
        <f t="shared" si="1"/>
        <v>5</v>
      </c>
      <c r="G17" s="62">
        <f t="shared" si="2"/>
        <v>8.5000000000000006E-2</v>
      </c>
    </row>
    <row r="18" spans="1:7" x14ac:dyDescent="0.2">
      <c r="A18" s="109" t="str">
        <f>'Cotton Gin Input Data'!$A$24</f>
        <v>#1 Mote</v>
      </c>
      <c r="B18" s="109" t="s">
        <v>2</v>
      </c>
      <c r="C18" s="62">
        <v>3.7179999999999998E-2</v>
      </c>
      <c r="D18" s="13">
        <f>+'Cotton Gin Input Data'!D24</f>
        <v>1</v>
      </c>
      <c r="E18" s="14" t="str">
        <f t="shared" si="0"/>
        <v>Cyclones</v>
      </c>
      <c r="F18" s="15">
        <f t="shared" si="1"/>
        <v>1</v>
      </c>
      <c r="G18" s="62">
        <f t="shared" si="2"/>
        <v>3.7179999999999998E-2</v>
      </c>
    </row>
    <row r="19" spans="1:7" x14ac:dyDescent="0.2">
      <c r="A19" s="109" t="str">
        <f>'Cotton Gin Input Data'!$A$25</f>
        <v>#2 Mote</v>
      </c>
      <c r="B19" s="109" t="s">
        <v>2</v>
      </c>
      <c r="C19" s="62">
        <v>1.617E-2</v>
      </c>
      <c r="D19" s="13">
        <f>+'Cotton Gin Input Data'!D25</f>
        <v>1</v>
      </c>
      <c r="E19" s="14" t="str">
        <f t="shared" si="0"/>
        <v>Cyclones</v>
      </c>
      <c r="F19" s="15">
        <f t="shared" si="1"/>
        <v>1</v>
      </c>
      <c r="G19" s="62">
        <f t="shared" si="2"/>
        <v>1.617E-2</v>
      </c>
    </row>
    <row r="20" spans="1:7" x14ac:dyDescent="0.2">
      <c r="A20" s="109" t="str">
        <f>'Cotton Gin Input Data'!$A$26</f>
        <v>Mote Robber (h)</v>
      </c>
      <c r="B20" s="109" t="s">
        <v>2</v>
      </c>
      <c r="C20" s="62">
        <v>3.2000000000000001E-2</v>
      </c>
      <c r="D20" s="13">
        <f>+'Cotton Gin Input Data'!D26</f>
        <v>1</v>
      </c>
      <c r="E20" s="14" t="str">
        <f t="shared" si="0"/>
        <v>Cyclones</v>
      </c>
      <c r="F20" s="15">
        <f t="shared" si="1"/>
        <v>1</v>
      </c>
      <c r="G20" s="62">
        <f t="shared" si="2"/>
        <v>3.2000000000000001E-2</v>
      </c>
    </row>
    <row r="21" spans="1:7" x14ac:dyDescent="0.2">
      <c r="A21" s="109" t="str">
        <f>'Cotton Gin Input Data'!$A$27</f>
        <v>Mote Trash</v>
      </c>
      <c r="B21" s="109" t="s">
        <v>2</v>
      </c>
      <c r="C21" s="62">
        <v>9.2999999999999992E-3</v>
      </c>
      <c r="D21" s="13">
        <f>+'Cotton Gin Input Data'!D27</f>
        <v>1</v>
      </c>
      <c r="E21" s="14" t="str">
        <f t="shared" si="0"/>
        <v>Cyclones</v>
      </c>
      <c r="F21" s="15">
        <f t="shared" si="1"/>
        <v>1</v>
      </c>
      <c r="G21" s="62">
        <f t="shared" si="2"/>
        <v>9.2999999999999992E-3</v>
      </c>
    </row>
    <row r="22" spans="1:7" ht="30" x14ac:dyDescent="0.2">
      <c r="A22" s="91" t="s">
        <v>24</v>
      </c>
      <c r="B22" s="100" t="s">
        <v>24</v>
      </c>
      <c r="C22" s="100"/>
      <c r="D22" s="100" t="s">
        <v>24</v>
      </c>
      <c r="E22" s="100" t="s">
        <v>24</v>
      </c>
      <c r="F22" s="100" t="s">
        <v>24</v>
      </c>
      <c r="G22" s="99">
        <f>SUM(G15:G21)</f>
        <v>0.22913999999999998</v>
      </c>
    </row>
    <row r="23" spans="1:7" ht="30" x14ac:dyDescent="0.2">
      <c r="A23" s="91" t="s">
        <v>53</v>
      </c>
      <c r="B23" s="100" t="s">
        <v>53</v>
      </c>
      <c r="C23" s="122"/>
      <c r="D23" s="122"/>
      <c r="E23" s="100" t="s">
        <v>53</v>
      </c>
      <c r="F23" s="100" t="s">
        <v>53</v>
      </c>
      <c r="G23" s="99">
        <f>(G9+G14+G22)/(+'Cotton Gin Input Data'!G15++'Cotton Gin Input Data'!G20++'Cotton Gin Input Data'!G28)</f>
        <v>0.36313861970046668</v>
      </c>
    </row>
    <row r="24" spans="1:7" x14ac:dyDescent="0.2">
      <c r="A24" s="54" t="s">
        <v>108</v>
      </c>
    </row>
    <row r="25" spans="1:7" hidden="1" x14ac:dyDescent="0.2">
      <c r="G25" s="8"/>
    </row>
    <row r="26" spans="1:7" hidden="1" x14ac:dyDescent="0.2"/>
    <row r="27" spans="1:7" hidden="1" x14ac:dyDescent="0.2">
      <c r="G27" s="8"/>
    </row>
    <row r="28" spans="1:7" hidden="1" x14ac:dyDescent="0.2"/>
  </sheetData>
  <sheetProtection algorithmName="SHA-512" hashValue="E/FoExmVQUGRIb3oZUOWKBDj5wfk+y7uzTNuUz3qHtwbfNKyZWcqco/UZ2Fb7Pc1l0HlY7mwHX5GDvciq/j/6A==" saltValue="O47ERCBpJQUVziuBfqRXkA==" spinCount="100000" sheet="1" objects="1" scenarios="1"/>
  <mergeCells count="4">
    <mergeCell ref="A1:G1"/>
    <mergeCell ref="A2:G2"/>
    <mergeCell ref="A3:G3"/>
    <mergeCell ref="A4:G4"/>
  </mergeCells>
  <pageMargins left="0.7" right="0.7" top="0.75" bottom="0.75" header="0.3" footer="0.3"/>
  <pageSetup scale="74"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Intro &amp; Instructions</vt:lpstr>
      <vt:lpstr>Cotton Gin Input Data</vt:lpstr>
      <vt:lpstr>MAERT</vt:lpstr>
      <vt:lpstr>Summary for Tech Review</vt:lpstr>
      <vt:lpstr>Process Weight Allowable</vt:lpstr>
      <vt:lpstr>System Calculations</vt:lpstr>
      <vt:lpstr>Trash Handling Calculations</vt:lpstr>
      <vt:lpstr>Combustion Calculations</vt:lpstr>
      <vt:lpstr>PM10 Calculations</vt:lpstr>
      <vt:lpstr>PM2.5 Calculations</vt:lpstr>
      <vt:lpstr>Lint Cleaner Worksheet</vt:lpstr>
      <vt:lpstr>'Cotton Gin Input Data'!Print_Area</vt:lpstr>
      <vt:lpstr>'Intro &amp; Instructions'!Print_Area</vt:lpstr>
      <vt:lpstr>TitleRegion1.a11.g28.2</vt:lpstr>
      <vt:lpstr>TitleRegion1.a5.c12.4</vt:lpstr>
      <vt:lpstr>TitleRegion1.a5.f12.8</vt:lpstr>
      <vt:lpstr>TitleRegion1.a5.g23.10</vt:lpstr>
      <vt:lpstr>TitleRegion1.a5.g23.9</vt:lpstr>
      <vt:lpstr>TitleRegion1.a5.l6.5</vt:lpstr>
      <vt:lpstr>TitleRegion1.a6.d25.3</vt:lpstr>
      <vt:lpstr>TitleRegion1.a6.f20.11</vt:lpstr>
      <vt:lpstr>TitleRegion1.a6.l7.7</vt:lpstr>
      <vt:lpstr>TitleRegion1.a6.l9.6</vt:lpstr>
      <vt:lpstr>TitleRegion2.a22.f36.11</vt:lpstr>
      <vt:lpstr>TitleRegion3.a38.f52.11</vt:lpstr>
    </vt:vector>
  </TitlesOfParts>
  <Manager>TCEQ</Manager>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Cotton Gin Emissions Calculations Spreadsheet</dc:title>
  <dc:subject>Cotton Gin Calculations</dc:subject>
  <dc:creator>TCEQ</dc:creator>
  <cp:keywords>Cotton gin emissions calculations</cp:keywords>
  <dc:description>This spreasheet is used to calculate emission rates for a cotton gin air permit.</dc:description>
  <cp:lastModifiedBy>Lawannia Carpenter</cp:lastModifiedBy>
  <cp:lastPrinted>2019-02-01T17:19:45Z</cp:lastPrinted>
  <dcterms:created xsi:type="dcterms:W3CDTF">2008-10-03T20:52:29Z</dcterms:created>
  <dcterms:modified xsi:type="dcterms:W3CDTF">2019-03-20T15:43:32Z</dcterms:modified>
</cp:coreProperties>
</file>